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35" windowHeight="11955" activeTab="0"/>
  </bookViews>
  <sheets>
    <sheet name="Simulateur" sheetId="1" r:id="rId1"/>
  </sheets>
  <definedNames>
    <definedName name="_xlnm.Print_Area" localSheetId="0">'Simulateur'!$A$1:$L$76</definedName>
  </definedNames>
  <calcPr fullCalcOnLoad="1"/>
</workbook>
</file>

<file path=xl/sharedStrings.xml><?xml version="1.0" encoding="utf-8"?>
<sst xmlns="http://schemas.openxmlformats.org/spreadsheetml/2006/main" count="95" uniqueCount="38">
  <si>
    <t>Souhaitez vous une réduction ISF</t>
  </si>
  <si>
    <t>oui</t>
  </si>
  <si>
    <t>non</t>
  </si>
  <si>
    <t>droits d'entrée</t>
  </si>
  <si>
    <t>% PME</t>
  </si>
  <si>
    <t xml:space="preserve">plafond IR </t>
  </si>
  <si>
    <t>Montant global à investir</t>
  </si>
  <si>
    <t>Libre</t>
  </si>
  <si>
    <t>FCPI GENCAP PRIORITAIRE</t>
  </si>
  <si>
    <t>FCPI GENCAP AVENIR</t>
  </si>
  <si>
    <t>min 2 parts</t>
  </si>
  <si>
    <t>min 4 parts</t>
  </si>
  <si>
    <t xml:space="preserve">Montants </t>
  </si>
  <si>
    <t>nbrs de parts</t>
  </si>
  <si>
    <t>FIP GENCAP CROISSANCE</t>
  </si>
  <si>
    <t>max</t>
  </si>
  <si>
    <t>max souscription</t>
  </si>
  <si>
    <t>Total</t>
  </si>
  <si>
    <t>solution GENCAP Prioritaire</t>
  </si>
  <si>
    <t>solution libre</t>
  </si>
  <si>
    <t>solution mixte IR</t>
  </si>
  <si>
    <t>solution mixte ISF</t>
  </si>
  <si>
    <t>Montants*</t>
  </si>
  <si>
    <t>TOTAL</t>
  </si>
  <si>
    <t>plafond ISF</t>
  </si>
  <si>
    <t>Etes vous marié ou PACSé</t>
  </si>
  <si>
    <t>Montant de la réduction IR supplémentaire</t>
  </si>
  <si>
    <t>frais d'entrée inclus de :</t>
  </si>
  <si>
    <t>Solution mixte entre les différents fonds</t>
  </si>
  <si>
    <t>Actions</t>
  </si>
  <si>
    <t>Prêts obligataires</t>
  </si>
  <si>
    <t>Simulation non contractuelle effectuée conformément à la législation en vigueur au 11/2009. Simulation à usage interne, non destinée à être distribuée au public</t>
  </si>
  <si>
    <t>Prêts obligataires et monétaire</t>
  </si>
  <si>
    <r>
      <t xml:space="preserve">Si solution libre choisie : </t>
    </r>
    <r>
      <rPr>
        <sz val="11"/>
        <rFont val="Calibri"/>
        <family val="2"/>
      </rPr>
      <t>remplissez  les cases grises ci-dessous (en %)</t>
    </r>
  </si>
  <si>
    <t>*</t>
  </si>
  <si>
    <t>formule</t>
  </si>
  <si>
    <t>Montant supplémentaire à investir</t>
  </si>
  <si>
    <t>Soit un montant maximum et global de  réduction IR de 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</si>
</sst>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_-* #,##0\ &quot;€&quot;_-;\-* #,##0\ &quot;€&quot;_-;_-* &quot;-&quot;??\ &quot;€&quot;_-;_-@_-"/>
    <numFmt numFmtId="166" formatCode="_-* #,##0.00\ [$€-40C]_-;\-* #,##0.00\ [$€-40C]_-;_-* &quot;-&quot;??\ [$€-40C]_-;_-@_-"/>
    <numFmt numFmtId="167" formatCode="#,##0\ _€"/>
    <numFmt numFmtId="168" formatCode="#,##0\ [$€-40C];\-#,##0\ [$€-40C]"/>
    <numFmt numFmtId="169" formatCode="#,##0\ &quot;€&quot;"/>
    <numFmt numFmtId="170" formatCode="_-* #,##0.0\ [$€-40C]_-;\-* #,##0.0\ [$€-40C]_-;_-* &quot;-&quot;??\ [$€-40C]_-;_-@_-"/>
    <numFmt numFmtId="171" formatCode="_-* #,##0.0\ &quot;€&quot;_-;\-* #,##0.0\ &quot;€&quot;_-;_-* &quot;-&quot;??\ &quot;€&quot;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55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b/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0"/>
      <color indexed="20"/>
      <name val="Calibri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i/>
      <sz val="10"/>
      <color indexed="8"/>
      <name val="Calibri"/>
      <family val="2"/>
    </font>
    <font>
      <b/>
      <sz val="11"/>
      <color indexed="14"/>
      <name val="Calibri"/>
      <family val="2"/>
    </font>
    <font>
      <i/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20"/>
      <name val="Calibri"/>
      <family val="2"/>
    </font>
    <font>
      <b/>
      <sz val="9"/>
      <color indexed="8"/>
      <name val="Calibri"/>
      <family val="2"/>
    </font>
    <font>
      <sz val="18"/>
      <color indexed="9"/>
      <name val="Calibri"/>
      <family val="0"/>
    </font>
    <font>
      <sz val="18"/>
      <color indexed="20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20"/>
      <name val="Calibri"/>
      <family val="0"/>
    </font>
    <font>
      <b/>
      <sz val="8"/>
      <color indexed="20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b/>
      <sz val="11"/>
      <color rgb="FFB1006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rgb="FFB10061"/>
      <name val="Calibri"/>
      <family val="2"/>
    </font>
    <font>
      <b/>
      <sz val="11"/>
      <color rgb="FFB1004D"/>
      <name val="Calibri"/>
      <family val="2"/>
    </font>
    <font>
      <b/>
      <sz val="10"/>
      <color theme="1"/>
      <name val="Calibri"/>
      <family val="2"/>
    </font>
    <font>
      <sz val="11"/>
      <color rgb="FFDD0059"/>
      <name val="Calibri"/>
      <family val="2"/>
    </font>
    <font>
      <b/>
      <sz val="11"/>
      <color rgb="FFB1005E"/>
      <name val="Calibri"/>
      <family val="2"/>
    </font>
    <font>
      <i/>
      <sz val="10"/>
      <color theme="1"/>
      <name val="Calibri"/>
      <family val="2"/>
    </font>
    <font>
      <b/>
      <sz val="12"/>
      <color rgb="FFB10061"/>
      <name val="Calibri"/>
      <family val="2"/>
    </font>
    <font>
      <b/>
      <sz val="9"/>
      <color theme="1"/>
      <name val="Calibri"/>
      <family val="2"/>
    </font>
    <font>
      <b/>
      <sz val="11"/>
      <color rgb="FFDD0059"/>
      <name val="Calibri"/>
      <family val="2"/>
    </font>
    <font>
      <i/>
      <sz val="11"/>
      <color rgb="FFB1004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9" fontId="59" fillId="0" borderId="0" xfId="0" applyNumberFormat="1" applyFont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right"/>
      <protection hidden="1"/>
    </xf>
    <xf numFmtId="0" fontId="60" fillId="33" borderId="0" xfId="0" applyFont="1" applyFill="1" applyAlignment="1" applyProtection="1">
      <alignment horizontal="center"/>
      <protection hidden="1"/>
    </xf>
    <xf numFmtId="164" fontId="6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left" indent="3"/>
      <protection hidden="1"/>
    </xf>
    <xf numFmtId="0" fontId="61" fillId="0" borderId="0" xfId="0" applyFont="1" applyAlignment="1" applyProtection="1">
      <alignment horizontal="center"/>
      <protection hidden="1"/>
    </xf>
    <xf numFmtId="168" fontId="61" fillId="0" borderId="0" xfId="0" applyNumberFormat="1" applyFon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62" fillId="0" borderId="0" xfId="0" applyFont="1" applyAlignment="1" applyProtection="1">
      <alignment horizontal="center"/>
      <protection hidden="1"/>
    </xf>
    <xf numFmtId="169" fontId="61" fillId="0" borderId="0" xfId="0" applyNumberFormat="1" applyFont="1" applyAlignment="1" applyProtection="1">
      <alignment horizontal="center"/>
      <protection hidden="1"/>
    </xf>
    <xf numFmtId="164" fontId="61" fillId="0" borderId="0" xfId="0" applyNumberFormat="1" applyFont="1" applyAlignment="1" applyProtection="1">
      <alignment horizontal="center"/>
      <protection hidden="1"/>
    </xf>
    <xf numFmtId="164" fontId="62" fillId="0" borderId="0" xfId="0" applyNumberFormat="1" applyFont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6" fontId="0" fillId="33" borderId="0" xfId="0" applyNumberFormat="1" applyFont="1" applyFill="1" applyAlignment="1" applyProtection="1">
      <alignment horizontal="right"/>
      <protection hidden="1"/>
    </xf>
    <xf numFmtId="164" fontId="63" fillId="0" borderId="0" xfId="0" applyNumberFormat="1" applyFont="1" applyAlignment="1" applyProtection="1">
      <alignment horizontal="left"/>
      <protection hidden="1"/>
    </xf>
    <xf numFmtId="0" fontId="43" fillId="33" borderId="0" xfId="0" applyFont="1" applyFill="1" applyAlignment="1" applyProtection="1">
      <alignment/>
      <protection locked="0"/>
    </xf>
    <xf numFmtId="9" fontId="43" fillId="33" borderId="0" xfId="0" applyNumberFormat="1" applyFont="1" applyFill="1" applyAlignment="1" applyProtection="1">
      <alignment/>
      <protection hidden="1"/>
    </xf>
    <xf numFmtId="164" fontId="43" fillId="33" borderId="0" xfId="0" applyNumberFormat="1" applyFont="1" applyFill="1" applyAlignment="1" applyProtection="1">
      <alignment/>
      <protection hidden="1"/>
    </xf>
    <xf numFmtId="6" fontId="43" fillId="33" borderId="0" xfId="0" applyNumberFormat="1" applyFont="1" applyFill="1" applyAlignment="1" applyProtection="1">
      <alignment/>
      <protection hidden="1"/>
    </xf>
    <xf numFmtId="166" fontId="43" fillId="33" borderId="0" xfId="0" applyNumberFormat="1" applyFont="1" applyFill="1" applyAlignment="1" applyProtection="1">
      <alignment/>
      <protection hidden="1"/>
    </xf>
    <xf numFmtId="6" fontId="64" fillId="0" borderId="0" xfId="0" applyNumberFormat="1" applyFont="1" applyAlignment="1" applyProtection="1">
      <alignment horizontal="left"/>
      <protection hidden="1"/>
    </xf>
    <xf numFmtId="0" fontId="65" fillId="0" borderId="0" xfId="0" applyFont="1" applyAlignment="1" applyProtection="1">
      <alignment/>
      <protection hidden="1"/>
    </xf>
    <xf numFmtId="0" fontId="44" fillId="33" borderId="0" xfId="0" applyFont="1" applyFill="1" applyAlignment="1" applyProtection="1">
      <alignment/>
      <protection hidden="1"/>
    </xf>
    <xf numFmtId="166" fontId="60" fillId="0" borderId="0" xfId="0" applyNumberFormat="1" applyFont="1" applyAlignment="1" applyProtection="1">
      <alignment horizontal="right"/>
      <protection hidden="1"/>
    </xf>
    <xf numFmtId="6" fontId="66" fillId="34" borderId="0" xfId="0" applyNumberFormat="1" applyFont="1" applyFill="1" applyAlignment="1" applyProtection="1">
      <alignment horizontal="right"/>
      <protection locked="0"/>
    </xf>
    <xf numFmtId="0" fontId="66" fillId="34" borderId="0" xfId="0" applyFont="1" applyFill="1" applyAlignment="1" applyProtection="1">
      <alignment horizontal="right"/>
      <protection locked="0"/>
    </xf>
    <xf numFmtId="44" fontId="66" fillId="34" borderId="0" xfId="47" applyNumberFormat="1" applyFont="1" applyFill="1" applyAlignment="1" applyProtection="1">
      <alignment/>
      <protection locked="0"/>
    </xf>
    <xf numFmtId="6" fontId="67" fillId="0" borderId="0" xfId="0" applyNumberFormat="1" applyFont="1" applyAlignment="1" applyProtection="1">
      <alignment horizontal="right"/>
      <protection hidden="1"/>
    </xf>
    <xf numFmtId="0" fontId="60" fillId="0" borderId="0" xfId="0" applyNumberFormat="1" applyFont="1" applyAlignment="1" applyProtection="1">
      <alignment/>
      <protection hidden="1"/>
    </xf>
    <xf numFmtId="0" fontId="64" fillId="0" borderId="0" xfId="0" applyFont="1" applyAlignment="1" applyProtection="1">
      <alignment horizontal="center" wrapText="1"/>
      <protection hidden="1"/>
    </xf>
    <xf numFmtId="164" fontId="3" fillId="33" borderId="0" xfId="0" applyNumberFormat="1" applyFont="1" applyFill="1" applyAlignment="1" applyProtection="1">
      <alignment horizontal="right"/>
      <protection hidden="1"/>
    </xf>
    <xf numFmtId="0" fontId="68" fillId="0" borderId="0" xfId="0" applyFont="1" applyAlignment="1" applyProtection="1">
      <alignment/>
      <protection hidden="1"/>
    </xf>
    <xf numFmtId="164" fontId="68" fillId="33" borderId="0" xfId="0" applyNumberFormat="1" applyFont="1" applyFill="1" applyAlignment="1" applyProtection="1">
      <alignment horizontal="right"/>
      <protection hidden="1"/>
    </xf>
    <xf numFmtId="164" fontId="60" fillId="33" borderId="0" xfId="0" applyNumberFormat="1" applyFont="1" applyFill="1" applyAlignment="1" applyProtection="1">
      <alignment horizontal="center" wrapText="1"/>
      <protection hidden="1"/>
    </xf>
    <xf numFmtId="164" fontId="69" fillId="33" borderId="0" xfId="0" applyNumberFormat="1" applyFont="1" applyFill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/>
      <protection hidden="1"/>
    </xf>
    <xf numFmtId="0" fontId="70" fillId="0" borderId="0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 vertical="top" wrapText="1"/>
      <protection hidden="1"/>
    </xf>
    <xf numFmtId="0" fontId="64" fillId="0" borderId="0" xfId="0" applyFont="1" applyAlignment="1" applyProtection="1">
      <alignment horizontal="center" wrapText="1"/>
      <protection hidden="1"/>
    </xf>
    <xf numFmtId="0" fontId="66" fillId="34" borderId="0" xfId="0" applyFont="1" applyFill="1" applyAlignment="1" applyProtection="1">
      <alignment horizontal="left"/>
      <protection locked="0"/>
    </xf>
    <xf numFmtId="9" fontId="71" fillId="34" borderId="0" xfId="0" applyNumberFormat="1" applyFont="1" applyFill="1" applyBorder="1" applyAlignment="1" applyProtection="1">
      <alignment horizontal="center"/>
      <protection locked="0"/>
    </xf>
    <xf numFmtId="9" fontId="71" fillId="34" borderId="10" xfId="0" applyNumberFormat="1" applyFont="1" applyFill="1" applyBorder="1" applyAlignment="1" applyProtection="1">
      <alignment horizontal="center"/>
      <protection locked="0"/>
    </xf>
    <xf numFmtId="9" fontId="71" fillId="34" borderId="11" xfId="0" applyNumberFormat="1" applyFont="1" applyFill="1" applyBorder="1" applyAlignment="1" applyProtection="1">
      <alignment horizontal="center"/>
      <protection locked="0"/>
    </xf>
    <xf numFmtId="9" fontId="71" fillId="34" borderId="0" xfId="0" applyNumberFormat="1" applyFont="1" applyFill="1" applyBorder="1" applyAlignment="1" applyProtection="1">
      <alignment horizontal="center"/>
      <protection hidden="1" locked="0"/>
    </xf>
    <xf numFmtId="0" fontId="72" fillId="0" borderId="0" xfId="0" applyFont="1" applyAlignment="1" applyProtection="1">
      <alignment horizontal="center"/>
      <protection hidden="1"/>
    </xf>
    <xf numFmtId="0" fontId="3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color theme="0"/>
      </font>
      <fill>
        <patternFill patternType="none">
          <bgColor indexed="65"/>
        </patternFill>
      </fill>
    </dxf>
    <dxf>
      <font>
        <name val="Cambria"/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strike/>
        <color rgb="FFFF0000"/>
      </font>
      <border/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075"/>
          <c:y val="0.0945"/>
          <c:w val="0.93175"/>
          <c:h val="0.57975"/>
        </c:manualLayout>
      </c:layout>
      <c:pie3DChart>
        <c:varyColors val="1"/>
        <c:ser>
          <c:idx val="0"/>
          <c:order val="0"/>
          <c:tx>
            <c:strRef>
              <c:f>Simulateur!$H$18</c:f>
              <c:strCache>
                <c:ptCount val="1"/>
                <c:pt idx="0">
                  <c:v>Montants*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8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1006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4D8D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Simulateur!$E$19:$F$21</c:f>
              <c:multiLvlStrCache/>
            </c:multiLvlStrRef>
          </c:cat>
          <c:val>
            <c:numRef>
              <c:f>Simulateur!$H$19:$H$21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76125"/>
          <c:w val="0.825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75"/>
          <c:y val="0.12975"/>
          <c:w val="0.9305"/>
          <c:h val="0.58925"/>
        </c:manualLayout>
      </c:layout>
      <c:pie3DChart>
        <c:varyColors val="1"/>
        <c:ser>
          <c:idx val="0"/>
          <c:order val="0"/>
          <c:spPr>
            <a:solidFill>
              <a:srgbClr val="C2D19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D19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D00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Simulateur!$U$71:$V$71</c:f>
              <c:strCache/>
            </c:strRef>
          </c:cat>
          <c:val>
            <c:numRef>
              <c:f>Simulateur!$U$72:$V$72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8585"/>
          <c:w val="0.93025"/>
          <c:h val="0.11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23</xdr:row>
      <xdr:rowOff>66675</xdr:rowOff>
    </xdr:from>
    <xdr:to>
      <xdr:col>7</xdr:col>
      <xdr:colOff>95250</xdr:colOff>
      <xdr:row>33</xdr:row>
      <xdr:rowOff>85725</xdr:rowOff>
    </xdr:to>
    <xdr:graphicFrame>
      <xdr:nvGraphicFramePr>
        <xdr:cNvPr id="1" name="Graphique 2"/>
        <xdr:cNvGraphicFramePr/>
      </xdr:nvGraphicFramePr>
      <xdr:xfrm>
        <a:off x="4629150" y="4438650"/>
        <a:ext cx="30289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657225</xdr:colOff>
      <xdr:row>23</xdr:row>
      <xdr:rowOff>85725</xdr:rowOff>
    </xdr:from>
    <xdr:to>
      <xdr:col>11</xdr:col>
      <xdr:colOff>85725</xdr:colOff>
      <xdr:row>32</xdr:row>
      <xdr:rowOff>133350</xdr:rowOff>
    </xdr:to>
    <xdr:graphicFrame>
      <xdr:nvGraphicFramePr>
        <xdr:cNvPr id="2" name="Graphique 110"/>
        <xdr:cNvGraphicFramePr/>
      </xdr:nvGraphicFramePr>
      <xdr:xfrm>
        <a:off x="7381875" y="4457700"/>
        <a:ext cx="2819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600075</xdr:colOff>
      <xdr:row>23</xdr:row>
      <xdr:rowOff>104775</xdr:rowOff>
    </xdr:from>
    <xdr:ext cx="428625" cy="1743075"/>
    <xdr:sp>
      <xdr:nvSpPr>
        <xdr:cNvPr id="3" name="ZoneTexte 114"/>
        <xdr:cNvSpPr txBox="1">
          <a:spLocks noChangeArrowheads="1"/>
        </xdr:cNvSpPr>
      </xdr:nvSpPr>
      <xdr:spPr>
        <a:xfrm rot="16200000">
          <a:off x="7324725" y="4476750"/>
          <a:ext cx="428625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Répartition visée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par classe d'actifs (3)</a:t>
          </a:r>
        </a:p>
      </xdr:txBody>
    </xdr:sp>
    <xdr:clientData/>
  </xdr:oneCellAnchor>
  <xdr:oneCellAnchor>
    <xdr:from>
      <xdr:col>3</xdr:col>
      <xdr:colOff>476250</xdr:colOff>
      <xdr:row>23</xdr:row>
      <xdr:rowOff>133350</xdr:rowOff>
    </xdr:from>
    <xdr:ext cx="266700" cy="1485900"/>
    <xdr:sp>
      <xdr:nvSpPr>
        <xdr:cNvPr id="4" name="ZoneTexte 113"/>
        <xdr:cNvSpPr txBox="1">
          <a:spLocks noChangeArrowheads="1"/>
        </xdr:cNvSpPr>
      </xdr:nvSpPr>
      <xdr:spPr>
        <a:xfrm rot="16200000">
          <a:off x="4800600" y="4505325"/>
          <a:ext cx="2667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Répartition par fonds</a:t>
          </a:r>
        </a:p>
      </xdr:txBody>
    </xdr:sp>
    <xdr:clientData/>
  </xdr:oneCellAnchor>
  <xdr:twoCellAnchor>
    <xdr:from>
      <xdr:col>1</xdr:col>
      <xdr:colOff>57150</xdr:colOff>
      <xdr:row>1</xdr:row>
      <xdr:rowOff>85725</xdr:rowOff>
    </xdr:from>
    <xdr:to>
      <xdr:col>10</xdr:col>
      <xdr:colOff>228600</xdr:colOff>
      <xdr:row>3</xdr:row>
      <xdr:rowOff>123825</xdr:rowOff>
    </xdr:to>
    <xdr:sp>
      <xdr:nvSpPr>
        <xdr:cNvPr id="5" name="Rectangle à coins arrondis 3"/>
        <xdr:cNvSpPr>
          <a:spLocks/>
        </xdr:cNvSpPr>
      </xdr:nvSpPr>
      <xdr:spPr>
        <a:xfrm>
          <a:off x="485775" y="276225"/>
          <a:ext cx="9477375" cy="419100"/>
        </a:xfrm>
        <a:prstGeom prst="roundRect">
          <a:avLst/>
        </a:prstGeom>
        <a:solidFill>
          <a:srgbClr val="00485E"/>
        </a:solidFill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SIMULATEUR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FCPI et FIP GENERIS</a:t>
          </a:r>
        </a:p>
      </xdr:txBody>
    </xdr:sp>
    <xdr:clientData/>
  </xdr:twoCellAnchor>
  <xdr:twoCellAnchor>
    <xdr:from>
      <xdr:col>1</xdr:col>
      <xdr:colOff>1219200</xdr:colOff>
      <xdr:row>4</xdr:row>
      <xdr:rowOff>161925</xdr:rowOff>
    </xdr:from>
    <xdr:to>
      <xdr:col>3</xdr:col>
      <xdr:colOff>190500</xdr:colOff>
      <xdr:row>6</xdr:row>
      <xdr:rowOff>133350</xdr:rowOff>
    </xdr:to>
    <xdr:sp>
      <xdr:nvSpPr>
        <xdr:cNvPr id="6" name="Rectangle à coins arrondis 4"/>
        <xdr:cNvSpPr>
          <a:spLocks/>
        </xdr:cNvSpPr>
      </xdr:nvSpPr>
      <xdr:spPr>
        <a:xfrm>
          <a:off x="1647825" y="923925"/>
          <a:ext cx="2867025" cy="352425"/>
        </a:xfrm>
        <a:prstGeom prst="roundRect">
          <a:avLst/>
        </a:prstGeom>
        <a:solidFill>
          <a:srgbClr val="D4D8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Quel</a:t>
          </a:r>
          <a:r>
            <a:rPr lang="en-US" cap="none" sz="18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objectif fiscal ?</a:t>
          </a:r>
        </a:p>
      </xdr:txBody>
    </xdr:sp>
    <xdr:clientData/>
  </xdr:twoCellAnchor>
  <xdr:twoCellAnchor>
    <xdr:from>
      <xdr:col>1</xdr:col>
      <xdr:colOff>28575</xdr:colOff>
      <xdr:row>4</xdr:row>
      <xdr:rowOff>161925</xdr:rowOff>
    </xdr:from>
    <xdr:to>
      <xdr:col>1</xdr:col>
      <xdr:colOff>1085850</xdr:colOff>
      <xdr:row>6</xdr:row>
      <xdr:rowOff>152400</xdr:rowOff>
    </xdr:to>
    <xdr:sp>
      <xdr:nvSpPr>
        <xdr:cNvPr id="7" name="Rectangle à coins arrondis 5"/>
        <xdr:cNvSpPr>
          <a:spLocks/>
        </xdr:cNvSpPr>
      </xdr:nvSpPr>
      <xdr:spPr>
        <a:xfrm>
          <a:off x="457200" y="923925"/>
          <a:ext cx="1057275" cy="371475"/>
        </a:xfrm>
        <a:prstGeom prst="roundRect">
          <a:avLst/>
        </a:prstGeom>
        <a:solidFill>
          <a:srgbClr val="B1006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1 : </a:t>
          </a:r>
        </a:p>
      </xdr:txBody>
    </xdr:sp>
    <xdr:clientData/>
  </xdr:twoCellAnchor>
  <xdr:twoCellAnchor>
    <xdr:from>
      <xdr:col>3</xdr:col>
      <xdr:colOff>733425</xdr:colOff>
      <xdr:row>4</xdr:row>
      <xdr:rowOff>114300</xdr:rowOff>
    </xdr:from>
    <xdr:to>
      <xdr:col>5</xdr:col>
      <xdr:colOff>238125</xdr:colOff>
      <xdr:row>6</xdr:row>
      <xdr:rowOff>104775</xdr:rowOff>
    </xdr:to>
    <xdr:sp>
      <xdr:nvSpPr>
        <xdr:cNvPr id="8" name="Rectangle à coins arrondis 6"/>
        <xdr:cNvSpPr>
          <a:spLocks/>
        </xdr:cNvSpPr>
      </xdr:nvSpPr>
      <xdr:spPr>
        <a:xfrm>
          <a:off x="5057775" y="876300"/>
          <a:ext cx="1057275" cy="371475"/>
        </a:xfrm>
        <a:prstGeom prst="roundRect">
          <a:avLst/>
        </a:prstGeom>
        <a:solidFill>
          <a:srgbClr val="B1006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Etape 2 : </a:t>
          </a:r>
        </a:p>
      </xdr:txBody>
    </xdr:sp>
    <xdr:clientData/>
  </xdr:twoCellAnchor>
  <xdr:twoCellAnchor>
    <xdr:from>
      <xdr:col>5</xdr:col>
      <xdr:colOff>438150</xdr:colOff>
      <xdr:row>4</xdr:row>
      <xdr:rowOff>123825</xdr:rowOff>
    </xdr:from>
    <xdr:to>
      <xdr:col>10</xdr:col>
      <xdr:colOff>38100</xdr:colOff>
      <xdr:row>6</xdr:row>
      <xdr:rowOff>95250</xdr:rowOff>
    </xdr:to>
    <xdr:sp>
      <xdr:nvSpPr>
        <xdr:cNvPr id="9" name="Rectangle à coins arrondis 7"/>
        <xdr:cNvSpPr>
          <a:spLocks/>
        </xdr:cNvSpPr>
      </xdr:nvSpPr>
      <xdr:spPr>
        <a:xfrm>
          <a:off x="6315075" y="885825"/>
          <a:ext cx="3457575" cy="352425"/>
        </a:xfrm>
        <a:prstGeom prst="roundRect">
          <a:avLst/>
        </a:prstGeom>
        <a:solidFill>
          <a:srgbClr val="D4D8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Quelle allocation ?</a:t>
          </a:r>
        </a:p>
      </xdr:txBody>
    </xdr:sp>
    <xdr:clientData/>
  </xdr:twoCellAnchor>
  <xdr:twoCellAnchor>
    <xdr:from>
      <xdr:col>0</xdr:col>
      <xdr:colOff>400050</xdr:colOff>
      <xdr:row>16</xdr:row>
      <xdr:rowOff>152400</xdr:rowOff>
    </xdr:from>
    <xdr:to>
      <xdr:col>3</xdr:col>
      <xdr:colOff>257175</xdr:colOff>
      <xdr:row>18</xdr:row>
      <xdr:rowOff>19050</xdr:rowOff>
    </xdr:to>
    <xdr:sp>
      <xdr:nvSpPr>
        <xdr:cNvPr id="10" name="Rectangle à coins arrondis 9"/>
        <xdr:cNvSpPr>
          <a:spLocks/>
        </xdr:cNvSpPr>
      </xdr:nvSpPr>
      <xdr:spPr>
        <a:xfrm>
          <a:off x="400050" y="3200400"/>
          <a:ext cx="4181475" cy="247650"/>
        </a:xfrm>
        <a:prstGeom prst="roundRect">
          <a:avLst/>
        </a:prstGeom>
        <a:noFill/>
        <a:ln w="19050" cmpd="sng">
          <a:solidFill>
            <a:srgbClr val="B1006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114300</xdr:rowOff>
    </xdr:from>
    <xdr:to>
      <xdr:col>3</xdr:col>
      <xdr:colOff>476250</xdr:colOff>
      <xdr:row>35</xdr:row>
      <xdr:rowOff>47625</xdr:rowOff>
    </xdr:to>
    <xdr:sp>
      <xdr:nvSpPr>
        <xdr:cNvPr id="11" name="Connecteur droit 23"/>
        <xdr:cNvSpPr>
          <a:spLocks/>
        </xdr:cNvSpPr>
      </xdr:nvSpPr>
      <xdr:spPr>
        <a:xfrm rot="5400000">
          <a:off x="4800600" y="876300"/>
          <a:ext cx="0" cy="6305550"/>
        </a:xfrm>
        <a:prstGeom prst="line">
          <a:avLst/>
        </a:prstGeom>
        <a:noFill/>
        <a:ln w="15875" cmpd="sng">
          <a:solidFill>
            <a:srgbClr val="0048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695325</xdr:colOff>
      <xdr:row>8</xdr:row>
      <xdr:rowOff>38100</xdr:rowOff>
    </xdr:from>
    <xdr:ext cx="4143375" cy="228600"/>
    <xdr:sp>
      <xdr:nvSpPr>
        <xdr:cNvPr id="12" name="ZoneTexte 25"/>
        <xdr:cNvSpPr txBox="1">
          <a:spLocks noChangeArrowheads="1"/>
        </xdr:cNvSpPr>
      </xdr:nvSpPr>
      <xdr:spPr>
        <a:xfrm>
          <a:off x="5019675" y="1562100"/>
          <a:ext cx="414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quelle solution d'investissement souhaitez vous vous orienter ?</a:t>
          </a:r>
        </a:p>
      </xdr:txBody>
    </xdr:sp>
    <xdr:clientData/>
  </xdr:oneCellAnchor>
  <xdr:oneCellAnchor>
    <xdr:from>
      <xdr:col>3</xdr:col>
      <xdr:colOff>523875</xdr:colOff>
      <xdr:row>22</xdr:row>
      <xdr:rowOff>9525</xdr:rowOff>
    </xdr:from>
    <xdr:ext cx="5162550" cy="409575"/>
    <xdr:sp>
      <xdr:nvSpPr>
        <xdr:cNvPr id="13" name="ZoneTexte 26"/>
        <xdr:cNvSpPr txBox="1">
          <a:spLocks noChangeArrowheads="1"/>
        </xdr:cNvSpPr>
      </xdr:nvSpPr>
      <xdr:spPr>
        <a:xfrm>
          <a:off x="4848225" y="4191000"/>
          <a:ext cx="5162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*le montant d’investissement est ici différent du montant indiqué dans l’Etape 1 car il est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arrondi à la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 superieure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(525 € /part/fonds, droits d'entrée de 5% inclus)</a:t>
          </a:r>
        </a:p>
      </xdr:txBody>
    </xdr:sp>
    <xdr:clientData/>
  </xdr:oneCellAnchor>
  <xdr:oneCellAnchor>
    <xdr:from>
      <xdr:col>0</xdr:col>
      <xdr:colOff>285750</xdr:colOff>
      <xdr:row>36</xdr:row>
      <xdr:rowOff>47625</xdr:rowOff>
    </xdr:from>
    <xdr:ext cx="9677400" cy="3390900"/>
    <xdr:sp>
      <xdr:nvSpPr>
        <xdr:cNvPr id="14" name="ZoneTexte 19"/>
        <xdr:cNvSpPr txBox="1">
          <a:spLocks noChangeArrowheads="1"/>
        </xdr:cNvSpPr>
      </xdr:nvSpPr>
      <xdr:spPr>
        <a:xfrm>
          <a:off x="285750" y="7381875"/>
          <a:ext cx="96774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Rappel 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réductions d’impôts sur le revenu sont limitées à </a:t>
          </a:r>
          <a:r>
            <a:rPr lang="en-US" cap="none" sz="105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3 000 €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une personne célibataire et à </a:t>
          </a:r>
          <a:r>
            <a:rPr lang="en-US" cap="none" sz="105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6 000 €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un couple marié ou pacsé. Ces réductions peuvent être </a:t>
          </a:r>
          <a:r>
            <a:rPr lang="en-US" cap="none" sz="105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doublées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(6 000 € et 12 000 €) dans le cas où il y a une souscription </a:t>
          </a:r>
          <a:r>
            <a:rPr lang="en-US" cap="none" sz="105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cumulée dans un FCPI et dans un FIP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couple marié peut investir 24 000 € dans un FIP et 24 000 € dans un FCPI et obtenir une réduction d’impôts de 12 000 € par exemple. Grâce à ce cumul, le montant maximum de la souscription est de 48 000 € ( 2 x 24 000 €) pour un couple marié ou pacsé et 24 000 € pour un célibataire (2 x 12 000 €).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(2) Le FCPI GenCap PRIORITAIRE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n'est pas éligible à la </a:t>
          </a:r>
          <a:r>
            <a:rPr lang="en-US" cap="none" sz="105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réduction d'ISF
</a:t>
          </a:r>
          <a:r>
            <a:rPr lang="en-US" cap="none" sz="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Mode de calcul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(si réduction uniquement IR) 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 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montant de la souscription totale, droits d’entrée inclus x pourcentage de réduction IR de 25%.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Mode de calcul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(si cumul de réduction IR et ISF) 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ISF 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quote part de la souscription nette de droits d’entrée investie en PME éligibles (max 60%) x pourcentage de réduction ISF de 50%. Soit, montant net x 60% x 50%. Ce montant est plafonné à 20.000 €, que ce soit pour un célibataire ou un couple soumis à imposition commune.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 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quote part, droits d’entrée inclus, non utilisée pour le calcul de l’ISF (min 40%) x pourcentage de réduction IR de 25%. Soit, montant brut x 40% x 25%. Ce montant est plafonné à 3.000 € pour un célibataire et à 6.000 € pour un couple soumis à imposition commune.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cumul d’investissements dans des FCPI et FIP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ces plafonds sont respectivement de 6.000 € et 12.000 €.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(3) Répartitition par classe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La répartition est calculée en fonction des objectifs de gestion suivants : FCPI GenCap Prioritaire = 90%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prêts Obligataires et 10% monétaire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FCPI genCap Avenir : 60% Actions / 40% prêts Obligataires et monétaire; FIP GenCap Croissance : 60% actions / 40% Prêts Obligataires 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monétaire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(Source GENERIS).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0</xdr:col>
      <xdr:colOff>238125</xdr:colOff>
      <xdr:row>36</xdr:row>
      <xdr:rowOff>38100</xdr:rowOff>
    </xdr:from>
    <xdr:to>
      <xdr:col>10</xdr:col>
      <xdr:colOff>247650</xdr:colOff>
      <xdr:row>53</xdr:row>
      <xdr:rowOff>38100</xdr:rowOff>
    </xdr:to>
    <xdr:sp>
      <xdr:nvSpPr>
        <xdr:cNvPr id="15" name="Rectangle à coins arrondis 28"/>
        <xdr:cNvSpPr>
          <a:spLocks/>
        </xdr:cNvSpPr>
      </xdr:nvSpPr>
      <xdr:spPr>
        <a:xfrm>
          <a:off x="238125" y="7372350"/>
          <a:ext cx="9744075" cy="3238500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838200</xdr:colOff>
      <xdr:row>31</xdr:row>
      <xdr:rowOff>180975</xdr:rowOff>
    </xdr:from>
    <xdr:to>
      <xdr:col>2</xdr:col>
      <xdr:colOff>114300</xdr:colOff>
      <xdr:row>35</xdr:row>
      <xdr:rowOff>57150</xdr:rowOff>
    </xdr:to>
    <xdr:pic>
      <xdr:nvPicPr>
        <xdr:cNvPr id="16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6353175"/>
          <a:ext cx="2286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56</xdr:row>
      <xdr:rowOff>171450</xdr:rowOff>
    </xdr:from>
    <xdr:ext cx="2552700" cy="409575"/>
    <xdr:sp>
      <xdr:nvSpPr>
        <xdr:cNvPr id="17" name="ZoneTexte 32"/>
        <xdr:cNvSpPr txBox="1">
          <a:spLocks noChangeArrowheads="1"/>
        </xdr:cNvSpPr>
      </xdr:nvSpPr>
      <xdr:spPr>
        <a:xfrm>
          <a:off x="4333875" y="11315700"/>
          <a:ext cx="2552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parts souscrites d’une valeur nominale de 525€ dont 5% de droits d’entrée</a:t>
          </a:r>
        </a:p>
      </xdr:txBody>
    </xdr:sp>
    <xdr:clientData/>
  </xdr:oneCellAnchor>
  <xdr:oneCellAnchor>
    <xdr:from>
      <xdr:col>1</xdr:col>
      <xdr:colOff>2838450</xdr:colOff>
      <xdr:row>66</xdr:row>
      <xdr:rowOff>152400</xdr:rowOff>
    </xdr:from>
    <xdr:ext cx="1438275" cy="409575"/>
    <xdr:sp>
      <xdr:nvSpPr>
        <xdr:cNvPr id="18" name="ZoneTexte 35"/>
        <xdr:cNvSpPr txBox="1">
          <a:spLocks noChangeArrowheads="1"/>
        </xdr:cNvSpPr>
      </xdr:nvSpPr>
      <xdr:spPr>
        <a:xfrm>
          <a:off x="3267075" y="13058775"/>
          <a:ext cx="1438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Montant investi, hors Droits d’entrée(1)</a:t>
          </a:r>
        </a:p>
      </xdr:txBody>
    </xdr:sp>
    <xdr:clientData/>
  </xdr:oneCellAnchor>
  <xdr:oneCellAnchor>
    <xdr:from>
      <xdr:col>1</xdr:col>
      <xdr:colOff>2847975</xdr:colOff>
      <xdr:row>68</xdr:row>
      <xdr:rowOff>171450</xdr:rowOff>
    </xdr:from>
    <xdr:ext cx="5286375" cy="200025"/>
    <xdr:sp fLocksText="0">
      <xdr:nvSpPr>
        <xdr:cNvPr id="19" name="ZoneTexte 36"/>
        <xdr:cNvSpPr txBox="1">
          <a:spLocks noChangeArrowheads="1"/>
        </xdr:cNvSpPr>
      </xdr:nvSpPr>
      <xdr:spPr>
        <a:xfrm>
          <a:off x="3276600" y="13458825"/>
          <a:ext cx="5286375" cy="200025"/>
        </a:xfrm>
        <a:prstGeom prst="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371475</xdr:colOff>
      <xdr:row>53</xdr:row>
      <xdr:rowOff>133350</xdr:rowOff>
    </xdr:from>
    <xdr:ext cx="9277350" cy="304800"/>
    <xdr:sp>
      <xdr:nvSpPr>
        <xdr:cNvPr id="20" name="ZoneTexte 37"/>
        <xdr:cNvSpPr txBox="1">
          <a:spLocks noChangeArrowheads="1"/>
        </xdr:cNvSpPr>
      </xdr:nvSpPr>
      <xdr:spPr>
        <a:xfrm>
          <a:off x="371475" y="10706100"/>
          <a:ext cx="9277350" cy="304800"/>
        </a:xfrm>
        <a:prstGeom prst="rect">
          <a:avLst/>
        </a:prstGeom>
        <a:solidFill>
          <a:srgbClr val="00485E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Comment remplir les tableaux indiqués dans le bulletin de souscription</a:t>
          </a:r>
        </a:p>
      </xdr:txBody>
    </xdr:sp>
    <xdr:clientData/>
  </xdr:oneCellAnchor>
  <xdr:oneCellAnchor>
    <xdr:from>
      <xdr:col>1</xdr:col>
      <xdr:colOff>333375</xdr:colOff>
      <xdr:row>59</xdr:row>
      <xdr:rowOff>161925</xdr:rowOff>
    </xdr:from>
    <xdr:ext cx="2124075" cy="266700"/>
    <xdr:sp>
      <xdr:nvSpPr>
        <xdr:cNvPr id="21" name="ZoneTexte 38"/>
        <xdr:cNvSpPr txBox="1">
          <a:spLocks noChangeArrowheads="1"/>
        </xdr:cNvSpPr>
      </xdr:nvSpPr>
      <xdr:spPr>
        <a:xfrm>
          <a:off x="762000" y="118776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FCPI GenCap Avenir </a:t>
          </a:r>
        </a:p>
      </xdr:txBody>
    </xdr:sp>
    <xdr:clientData/>
  </xdr:oneCellAnchor>
  <xdr:oneCellAnchor>
    <xdr:from>
      <xdr:col>1</xdr:col>
      <xdr:colOff>333375</xdr:colOff>
      <xdr:row>60</xdr:row>
      <xdr:rowOff>152400</xdr:rowOff>
    </xdr:from>
    <xdr:ext cx="2124075" cy="266700"/>
    <xdr:sp>
      <xdr:nvSpPr>
        <xdr:cNvPr id="22" name="ZoneTexte 39"/>
        <xdr:cNvSpPr txBox="1">
          <a:spLocks noChangeArrowheads="1"/>
        </xdr:cNvSpPr>
      </xdr:nvSpPr>
      <xdr:spPr>
        <a:xfrm>
          <a:off x="762000" y="1205865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FIP GenCap Croissance</a:t>
          </a:r>
        </a:p>
      </xdr:txBody>
    </xdr:sp>
    <xdr:clientData/>
  </xdr:oneCellAnchor>
  <xdr:oneCellAnchor>
    <xdr:from>
      <xdr:col>1</xdr:col>
      <xdr:colOff>314325</xdr:colOff>
      <xdr:row>58</xdr:row>
      <xdr:rowOff>133350</xdr:rowOff>
    </xdr:from>
    <xdr:ext cx="2124075" cy="266700"/>
    <xdr:sp>
      <xdr:nvSpPr>
        <xdr:cNvPr id="23" name="ZoneTexte 40"/>
        <xdr:cNvSpPr txBox="1">
          <a:spLocks noChangeArrowheads="1"/>
        </xdr:cNvSpPr>
      </xdr:nvSpPr>
      <xdr:spPr>
        <a:xfrm>
          <a:off x="742950" y="116586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FCPI GenCap Prioritaire</a:t>
          </a:r>
        </a:p>
      </xdr:txBody>
    </xdr:sp>
    <xdr:clientData/>
  </xdr:oneCellAnchor>
  <xdr:oneCellAnchor>
    <xdr:from>
      <xdr:col>1</xdr:col>
      <xdr:colOff>1866900</xdr:colOff>
      <xdr:row>59</xdr:row>
      <xdr:rowOff>161925</xdr:rowOff>
    </xdr:from>
    <xdr:ext cx="2124075" cy="266700"/>
    <xdr:sp>
      <xdr:nvSpPr>
        <xdr:cNvPr id="24" name="ZoneTexte 41"/>
        <xdr:cNvSpPr txBox="1">
          <a:spLocks noChangeArrowheads="1"/>
        </xdr:cNvSpPr>
      </xdr:nvSpPr>
      <xdr:spPr>
        <a:xfrm>
          <a:off x="2295525" y="118776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FR0010713958</a:t>
          </a:r>
        </a:p>
      </xdr:txBody>
    </xdr:sp>
    <xdr:clientData/>
  </xdr:oneCellAnchor>
  <xdr:oneCellAnchor>
    <xdr:from>
      <xdr:col>1</xdr:col>
      <xdr:colOff>1857375</xdr:colOff>
      <xdr:row>60</xdr:row>
      <xdr:rowOff>161925</xdr:rowOff>
    </xdr:from>
    <xdr:ext cx="2124075" cy="266700"/>
    <xdr:sp>
      <xdr:nvSpPr>
        <xdr:cNvPr id="25" name="ZoneTexte 42"/>
        <xdr:cNvSpPr txBox="1">
          <a:spLocks noChangeArrowheads="1"/>
        </xdr:cNvSpPr>
      </xdr:nvSpPr>
      <xdr:spPr>
        <a:xfrm>
          <a:off x="2286000" y="120681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FR0010672261</a:t>
          </a:r>
        </a:p>
      </xdr:txBody>
    </xdr:sp>
    <xdr:clientData/>
  </xdr:oneCellAnchor>
  <xdr:oneCellAnchor>
    <xdr:from>
      <xdr:col>1</xdr:col>
      <xdr:colOff>1876425</xdr:colOff>
      <xdr:row>58</xdr:row>
      <xdr:rowOff>133350</xdr:rowOff>
    </xdr:from>
    <xdr:ext cx="2124075" cy="266700"/>
    <xdr:sp>
      <xdr:nvSpPr>
        <xdr:cNvPr id="26" name="ZoneTexte 43"/>
        <xdr:cNvSpPr txBox="1">
          <a:spLocks noChangeArrowheads="1"/>
        </xdr:cNvSpPr>
      </xdr:nvSpPr>
      <xdr:spPr>
        <a:xfrm>
          <a:off x="2305050" y="116586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FR0010788984</a:t>
          </a:r>
        </a:p>
      </xdr:txBody>
    </xdr:sp>
    <xdr:clientData/>
  </xdr:oneCellAnchor>
  <xdr:oneCellAnchor>
    <xdr:from>
      <xdr:col>6</xdr:col>
      <xdr:colOff>314325</xdr:colOff>
      <xdr:row>56</xdr:row>
      <xdr:rowOff>152400</xdr:rowOff>
    </xdr:from>
    <xdr:ext cx="1504950" cy="438150"/>
    <xdr:sp>
      <xdr:nvSpPr>
        <xdr:cNvPr id="27" name="ZoneTexte 45"/>
        <xdr:cNvSpPr txBox="1">
          <a:spLocks noChangeArrowheads="1"/>
        </xdr:cNvSpPr>
      </xdr:nvSpPr>
      <xdr:spPr>
        <a:xfrm>
          <a:off x="7038975" y="11296650"/>
          <a:ext cx="1504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Montant investi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par fonds</a:t>
          </a:r>
        </a:p>
      </xdr:txBody>
    </xdr:sp>
    <xdr:clientData/>
  </xdr:oneCellAnchor>
  <xdr:oneCellAnchor>
    <xdr:from>
      <xdr:col>1</xdr:col>
      <xdr:colOff>2838450</xdr:colOff>
      <xdr:row>57</xdr:row>
      <xdr:rowOff>57150</xdr:rowOff>
    </xdr:from>
    <xdr:ext cx="1123950" cy="266700"/>
    <xdr:sp>
      <xdr:nvSpPr>
        <xdr:cNvPr id="28" name="ZoneTexte 46"/>
        <xdr:cNvSpPr txBox="1">
          <a:spLocks noChangeArrowheads="1"/>
        </xdr:cNvSpPr>
      </xdr:nvSpPr>
      <xdr:spPr>
        <a:xfrm>
          <a:off x="3267075" y="11391900"/>
          <a:ext cx="112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Droits d'entrée</a:t>
          </a:r>
        </a:p>
      </xdr:txBody>
    </xdr:sp>
    <xdr:clientData/>
  </xdr:oneCellAnchor>
  <xdr:oneCellAnchor>
    <xdr:from>
      <xdr:col>1</xdr:col>
      <xdr:colOff>1857375</xdr:colOff>
      <xdr:row>57</xdr:row>
      <xdr:rowOff>66675</xdr:rowOff>
    </xdr:from>
    <xdr:ext cx="895350" cy="266700"/>
    <xdr:sp>
      <xdr:nvSpPr>
        <xdr:cNvPr id="29" name="ZoneTexte 47"/>
        <xdr:cNvSpPr txBox="1">
          <a:spLocks noChangeArrowheads="1"/>
        </xdr:cNvSpPr>
      </xdr:nvSpPr>
      <xdr:spPr>
        <a:xfrm>
          <a:off x="2286000" y="1140142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Code ISIN</a:t>
          </a:r>
        </a:p>
      </xdr:txBody>
    </xdr:sp>
    <xdr:clientData/>
  </xdr:oneCellAnchor>
  <xdr:oneCellAnchor>
    <xdr:from>
      <xdr:col>1</xdr:col>
      <xdr:colOff>342900</xdr:colOff>
      <xdr:row>57</xdr:row>
      <xdr:rowOff>76200</xdr:rowOff>
    </xdr:from>
    <xdr:ext cx="2124075" cy="266700"/>
    <xdr:sp>
      <xdr:nvSpPr>
        <xdr:cNvPr id="30" name="ZoneTexte 48"/>
        <xdr:cNvSpPr txBox="1">
          <a:spLocks noChangeArrowheads="1"/>
        </xdr:cNvSpPr>
      </xdr:nvSpPr>
      <xdr:spPr>
        <a:xfrm>
          <a:off x="771525" y="1141095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</a:t>
          </a:r>
        </a:p>
      </xdr:txBody>
    </xdr:sp>
    <xdr:clientData/>
  </xdr:oneCellAnchor>
  <xdr:oneCellAnchor>
    <xdr:from>
      <xdr:col>3</xdr:col>
      <xdr:colOff>590550</xdr:colOff>
      <xdr:row>58</xdr:row>
      <xdr:rowOff>161925</xdr:rowOff>
    </xdr:from>
    <xdr:ext cx="2124075" cy="266700"/>
    <xdr:sp>
      <xdr:nvSpPr>
        <xdr:cNvPr id="31" name="ZoneTexte 49"/>
        <xdr:cNvSpPr txBox="1">
          <a:spLocks noChangeArrowheads="1"/>
        </xdr:cNvSpPr>
      </xdr:nvSpPr>
      <xdr:spPr>
        <a:xfrm>
          <a:off x="4914900" y="116871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525 €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(minimum de 2 parts)</a:t>
          </a:r>
        </a:p>
      </xdr:txBody>
    </xdr:sp>
    <xdr:clientData/>
  </xdr:oneCellAnchor>
  <xdr:oneCellAnchor>
    <xdr:from>
      <xdr:col>3</xdr:col>
      <xdr:colOff>581025</xdr:colOff>
      <xdr:row>59</xdr:row>
      <xdr:rowOff>161925</xdr:rowOff>
    </xdr:from>
    <xdr:ext cx="2124075" cy="266700"/>
    <xdr:sp>
      <xdr:nvSpPr>
        <xdr:cNvPr id="32" name="ZoneTexte 50"/>
        <xdr:cNvSpPr txBox="1">
          <a:spLocks noChangeArrowheads="1"/>
        </xdr:cNvSpPr>
      </xdr:nvSpPr>
      <xdr:spPr>
        <a:xfrm>
          <a:off x="4905375" y="118776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525 €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(minimum de 4 parts)</a:t>
          </a:r>
        </a:p>
      </xdr:txBody>
    </xdr:sp>
    <xdr:clientData/>
  </xdr:oneCellAnchor>
  <xdr:oneCellAnchor>
    <xdr:from>
      <xdr:col>3</xdr:col>
      <xdr:colOff>590550</xdr:colOff>
      <xdr:row>60</xdr:row>
      <xdr:rowOff>171450</xdr:rowOff>
    </xdr:from>
    <xdr:ext cx="2124075" cy="266700"/>
    <xdr:sp>
      <xdr:nvSpPr>
        <xdr:cNvPr id="33" name="ZoneTexte 51"/>
        <xdr:cNvSpPr txBox="1">
          <a:spLocks noChangeArrowheads="1"/>
        </xdr:cNvSpPr>
      </xdr:nvSpPr>
      <xdr:spPr>
        <a:xfrm>
          <a:off x="4914900" y="120777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525 €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(minimum de 4 parts)</a:t>
          </a:r>
        </a:p>
      </xdr:txBody>
    </xdr:sp>
    <xdr:clientData/>
  </xdr:oneCellAnchor>
  <xdr:oneCellAnchor>
    <xdr:from>
      <xdr:col>2</xdr:col>
      <xdr:colOff>390525</xdr:colOff>
      <xdr:row>62</xdr:row>
      <xdr:rowOff>19050</xdr:rowOff>
    </xdr:from>
    <xdr:ext cx="1123950" cy="266700"/>
    <xdr:sp>
      <xdr:nvSpPr>
        <xdr:cNvPr id="34" name="ZoneTexte 52"/>
        <xdr:cNvSpPr txBox="1">
          <a:spLocks noChangeArrowheads="1"/>
        </xdr:cNvSpPr>
      </xdr:nvSpPr>
      <xdr:spPr>
        <a:xfrm>
          <a:off x="3829050" y="12306300"/>
          <a:ext cx="112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xdr:txBody>
    </xdr:sp>
    <xdr:clientData/>
  </xdr:oneCellAnchor>
  <xdr:oneCellAnchor>
    <xdr:from>
      <xdr:col>3</xdr:col>
      <xdr:colOff>571500</xdr:colOff>
      <xdr:row>62</xdr:row>
      <xdr:rowOff>28575</xdr:rowOff>
    </xdr:from>
    <xdr:ext cx="2124075" cy="266700"/>
    <xdr:sp>
      <xdr:nvSpPr>
        <xdr:cNvPr id="35" name="ZoneTexte 53"/>
        <xdr:cNvSpPr txBox="1">
          <a:spLocks noChangeArrowheads="1"/>
        </xdr:cNvSpPr>
      </xdr:nvSpPr>
      <xdr:spPr>
        <a:xfrm>
          <a:off x="4895850" y="1231582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525 € </a:t>
          </a:r>
        </a:p>
      </xdr:txBody>
    </xdr:sp>
    <xdr:clientData/>
  </xdr:oneCellAnchor>
  <xdr:oneCellAnchor>
    <xdr:from>
      <xdr:col>6</xdr:col>
      <xdr:colOff>295275</xdr:colOff>
      <xdr:row>58</xdr:row>
      <xdr:rowOff>161925</xdr:rowOff>
    </xdr:from>
    <xdr:ext cx="590550" cy="266700"/>
    <xdr:sp>
      <xdr:nvSpPr>
        <xdr:cNvPr id="36" name="ZoneTexte 54"/>
        <xdr:cNvSpPr txBox="1">
          <a:spLocks noChangeArrowheads="1"/>
        </xdr:cNvSpPr>
      </xdr:nvSpPr>
      <xdr:spPr>
        <a:xfrm>
          <a:off x="7019925" y="11687175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Soit :</a:t>
          </a:r>
        </a:p>
      </xdr:txBody>
    </xdr:sp>
    <xdr:clientData/>
  </xdr:oneCellAnchor>
  <xdr:oneCellAnchor>
    <xdr:from>
      <xdr:col>6</xdr:col>
      <xdr:colOff>314325</xdr:colOff>
      <xdr:row>61</xdr:row>
      <xdr:rowOff>0</xdr:rowOff>
    </xdr:from>
    <xdr:ext cx="590550" cy="266700"/>
    <xdr:sp>
      <xdr:nvSpPr>
        <xdr:cNvPr id="37" name="ZoneTexte 55"/>
        <xdr:cNvSpPr txBox="1">
          <a:spLocks noChangeArrowheads="1"/>
        </xdr:cNvSpPr>
      </xdr:nvSpPr>
      <xdr:spPr>
        <a:xfrm>
          <a:off x="7038975" y="12087225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Soit :</a:t>
          </a:r>
        </a:p>
      </xdr:txBody>
    </xdr:sp>
    <xdr:clientData/>
  </xdr:oneCellAnchor>
  <xdr:oneCellAnchor>
    <xdr:from>
      <xdr:col>6</xdr:col>
      <xdr:colOff>304800</xdr:colOff>
      <xdr:row>59</xdr:row>
      <xdr:rowOff>171450</xdr:rowOff>
    </xdr:from>
    <xdr:ext cx="590550" cy="266700"/>
    <xdr:sp>
      <xdr:nvSpPr>
        <xdr:cNvPr id="38" name="ZoneTexte 56"/>
        <xdr:cNvSpPr txBox="1">
          <a:spLocks noChangeArrowheads="1"/>
        </xdr:cNvSpPr>
      </xdr:nvSpPr>
      <xdr:spPr>
        <a:xfrm>
          <a:off x="7029450" y="118872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Soit :</a:t>
          </a:r>
        </a:p>
      </xdr:txBody>
    </xdr:sp>
    <xdr:clientData/>
  </xdr:oneCellAnchor>
  <xdr:oneCellAnchor>
    <xdr:from>
      <xdr:col>3</xdr:col>
      <xdr:colOff>476250</xdr:colOff>
      <xdr:row>67</xdr:row>
      <xdr:rowOff>9525</xdr:rowOff>
    </xdr:from>
    <xdr:ext cx="1076325" cy="266700"/>
    <xdr:sp>
      <xdr:nvSpPr>
        <xdr:cNvPr id="39" name="ZoneTexte 57"/>
        <xdr:cNvSpPr txBox="1">
          <a:spLocks noChangeArrowheads="1"/>
        </xdr:cNvSpPr>
      </xdr:nvSpPr>
      <xdr:spPr>
        <a:xfrm>
          <a:off x="4800600" y="13106400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Formule</a:t>
          </a:r>
        </a:p>
      </xdr:txBody>
    </xdr:sp>
    <xdr:clientData/>
  </xdr:oneCellAnchor>
  <xdr:oneCellAnchor>
    <xdr:from>
      <xdr:col>1</xdr:col>
      <xdr:colOff>133350</xdr:colOff>
      <xdr:row>69</xdr:row>
      <xdr:rowOff>142875</xdr:rowOff>
    </xdr:from>
    <xdr:ext cx="2124075" cy="266700"/>
    <xdr:sp>
      <xdr:nvSpPr>
        <xdr:cNvPr id="40" name="ZoneTexte 58"/>
        <xdr:cNvSpPr txBox="1">
          <a:spLocks noChangeArrowheads="1"/>
        </xdr:cNvSpPr>
      </xdr:nvSpPr>
      <xdr:spPr>
        <a:xfrm>
          <a:off x="561975" y="1362075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FCPI GenCap Avenir </a:t>
          </a:r>
        </a:p>
      </xdr:txBody>
    </xdr:sp>
    <xdr:clientData/>
  </xdr:oneCellAnchor>
  <xdr:oneCellAnchor>
    <xdr:from>
      <xdr:col>1</xdr:col>
      <xdr:colOff>123825</xdr:colOff>
      <xdr:row>71</xdr:row>
      <xdr:rowOff>0</xdr:rowOff>
    </xdr:from>
    <xdr:ext cx="2124075" cy="266700"/>
    <xdr:sp>
      <xdr:nvSpPr>
        <xdr:cNvPr id="41" name="ZoneTexte 59"/>
        <xdr:cNvSpPr txBox="1">
          <a:spLocks noChangeArrowheads="1"/>
        </xdr:cNvSpPr>
      </xdr:nvSpPr>
      <xdr:spPr>
        <a:xfrm>
          <a:off x="552450" y="138588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FIP GenCap Croissance</a:t>
          </a:r>
        </a:p>
      </xdr:txBody>
    </xdr:sp>
    <xdr:clientData/>
  </xdr:oneCellAnchor>
  <xdr:oneCellAnchor>
    <xdr:from>
      <xdr:col>1</xdr:col>
      <xdr:colOff>114300</xdr:colOff>
      <xdr:row>68</xdr:row>
      <xdr:rowOff>123825</xdr:rowOff>
    </xdr:from>
    <xdr:ext cx="2124075" cy="266700"/>
    <xdr:sp>
      <xdr:nvSpPr>
        <xdr:cNvPr id="42" name="ZoneTexte 60"/>
        <xdr:cNvSpPr txBox="1">
          <a:spLocks noChangeArrowheads="1"/>
        </xdr:cNvSpPr>
      </xdr:nvSpPr>
      <xdr:spPr>
        <a:xfrm>
          <a:off x="542925" y="13411200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FCPI GenCap Prioritaire</a:t>
          </a:r>
        </a:p>
      </xdr:txBody>
    </xdr:sp>
    <xdr:clientData/>
  </xdr:oneCellAnchor>
  <xdr:oneCellAnchor>
    <xdr:from>
      <xdr:col>1</xdr:col>
      <xdr:colOff>1600200</xdr:colOff>
      <xdr:row>69</xdr:row>
      <xdr:rowOff>171450</xdr:rowOff>
    </xdr:from>
    <xdr:ext cx="2124075" cy="266700"/>
    <xdr:sp>
      <xdr:nvSpPr>
        <xdr:cNvPr id="43" name="ZoneTexte 61"/>
        <xdr:cNvSpPr txBox="1">
          <a:spLocks noChangeArrowheads="1"/>
        </xdr:cNvSpPr>
      </xdr:nvSpPr>
      <xdr:spPr>
        <a:xfrm>
          <a:off x="2028825" y="1364932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FR0010713958</a:t>
          </a:r>
        </a:p>
      </xdr:txBody>
    </xdr:sp>
    <xdr:clientData/>
  </xdr:oneCellAnchor>
  <xdr:oneCellAnchor>
    <xdr:from>
      <xdr:col>1</xdr:col>
      <xdr:colOff>1600200</xdr:colOff>
      <xdr:row>71</xdr:row>
      <xdr:rowOff>0</xdr:rowOff>
    </xdr:from>
    <xdr:ext cx="2124075" cy="266700"/>
    <xdr:sp>
      <xdr:nvSpPr>
        <xdr:cNvPr id="44" name="ZoneTexte 62"/>
        <xdr:cNvSpPr txBox="1">
          <a:spLocks noChangeArrowheads="1"/>
        </xdr:cNvSpPr>
      </xdr:nvSpPr>
      <xdr:spPr>
        <a:xfrm>
          <a:off x="2028825" y="138588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FR0010672261</a:t>
          </a:r>
        </a:p>
      </xdr:txBody>
    </xdr:sp>
    <xdr:clientData/>
  </xdr:oneCellAnchor>
  <xdr:oneCellAnchor>
    <xdr:from>
      <xdr:col>1</xdr:col>
      <xdr:colOff>1571625</xdr:colOff>
      <xdr:row>68</xdr:row>
      <xdr:rowOff>152400</xdr:rowOff>
    </xdr:from>
    <xdr:ext cx="2124075" cy="266700"/>
    <xdr:sp>
      <xdr:nvSpPr>
        <xdr:cNvPr id="45" name="ZoneTexte 63"/>
        <xdr:cNvSpPr txBox="1">
          <a:spLocks noChangeArrowheads="1"/>
        </xdr:cNvSpPr>
      </xdr:nvSpPr>
      <xdr:spPr>
        <a:xfrm>
          <a:off x="2000250" y="13439775"/>
          <a:ext cx="212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FR0010788984</a:t>
          </a:r>
        </a:p>
      </xdr:txBody>
    </xdr:sp>
    <xdr:clientData/>
  </xdr:oneCellAnchor>
  <xdr:oneCellAnchor>
    <xdr:from>
      <xdr:col>6</xdr:col>
      <xdr:colOff>285750</xdr:colOff>
      <xdr:row>66</xdr:row>
      <xdr:rowOff>142875</xdr:rowOff>
    </xdr:from>
    <xdr:ext cx="1504950" cy="438150"/>
    <xdr:sp>
      <xdr:nvSpPr>
        <xdr:cNvPr id="46" name="ZoneTexte 64"/>
        <xdr:cNvSpPr txBox="1">
          <a:spLocks noChangeArrowheads="1"/>
        </xdr:cNvSpPr>
      </xdr:nvSpPr>
      <xdr:spPr>
        <a:xfrm>
          <a:off x="7010400" y="13049250"/>
          <a:ext cx="1504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Montant de la réduction souhaitée</a:t>
          </a:r>
        </a:p>
      </xdr:txBody>
    </xdr:sp>
    <xdr:clientData/>
  </xdr:oneCellAnchor>
  <xdr:oneCellAnchor>
    <xdr:from>
      <xdr:col>1</xdr:col>
      <xdr:colOff>1647825</xdr:colOff>
      <xdr:row>67</xdr:row>
      <xdr:rowOff>47625</xdr:rowOff>
    </xdr:from>
    <xdr:ext cx="895350" cy="266700"/>
    <xdr:sp>
      <xdr:nvSpPr>
        <xdr:cNvPr id="47" name="ZoneTexte 66"/>
        <xdr:cNvSpPr txBox="1">
          <a:spLocks noChangeArrowheads="1"/>
        </xdr:cNvSpPr>
      </xdr:nvSpPr>
      <xdr:spPr>
        <a:xfrm>
          <a:off x="2076450" y="13144500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Code ISIN</a:t>
          </a:r>
        </a:p>
      </xdr:txBody>
    </xdr:sp>
    <xdr:clientData/>
  </xdr:oneCellAnchor>
  <xdr:oneCellAnchor>
    <xdr:from>
      <xdr:col>1</xdr:col>
      <xdr:colOff>285750</xdr:colOff>
      <xdr:row>67</xdr:row>
      <xdr:rowOff>38100</xdr:rowOff>
    </xdr:from>
    <xdr:ext cx="1362075" cy="266700"/>
    <xdr:sp>
      <xdr:nvSpPr>
        <xdr:cNvPr id="48" name="ZoneTexte 67"/>
        <xdr:cNvSpPr txBox="1">
          <a:spLocks noChangeArrowheads="1"/>
        </xdr:cNvSpPr>
      </xdr:nvSpPr>
      <xdr:spPr>
        <a:xfrm>
          <a:off x="714375" y="13134975"/>
          <a:ext cx="1362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Intitulé</a:t>
          </a:r>
        </a:p>
      </xdr:txBody>
    </xdr:sp>
    <xdr:clientData/>
  </xdr:oneCellAnchor>
  <xdr:oneCellAnchor>
    <xdr:from>
      <xdr:col>3</xdr:col>
      <xdr:colOff>561975</xdr:colOff>
      <xdr:row>69</xdr:row>
      <xdr:rowOff>133350</xdr:rowOff>
    </xdr:from>
    <xdr:ext cx="971550" cy="266700"/>
    <xdr:sp>
      <xdr:nvSpPr>
        <xdr:cNvPr id="49" name="ZoneTexte 68"/>
        <xdr:cNvSpPr txBox="1">
          <a:spLocks noChangeArrowheads="1"/>
        </xdr:cNvSpPr>
      </xdr:nvSpPr>
      <xdr:spPr>
        <a:xfrm>
          <a:off x="4886325" y="136112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60% x 50%</a:t>
          </a:r>
        </a:p>
      </xdr:txBody>
    </xdr:sp>
    <xdr:clientData/>
  </xdr:oneCellAnchor>
  <xdr:oneCellAnchor>
    <xdr:from>
      <xdr:col>4</xdr:col>
      <xdr:colOff>552450</xdr:colOff>
      <xdr:row>66</xdr:row>
      <xdr:rowOff>142875</xdr:rowOff>
    </xdr:from>
    <xdr:ext cx="1552575" cy="438150"/>
    <xdr:sp>
      <xdr:nvSpPr>
        <xdr:cNvPr id="50" name="ZoneTexte 76"/>
        <xdr:cNvSpPr txBox="1">
          <a:spLocks noChangeArrowheads="1"/>
        </xdr:cNvSpPr>
      </xdr:nvSpPr>
      <xdr:spPr>
        <a:xfrm>
          <a:off x="5638800" y="13049250"/>
          <a:ext cx="1552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Réduction ISF maximum</a:t>
          </a:r>
        </a:p>
      </xdr:txBody>
    </xdr:sp>
    <xdr:clientData/>
  </xdr:oneCellAnchor>
  <xdr:oneCellAnchor>
    <xdr:from>
      <xdr:col>3</xdr:col>
      <xdr:colOff>590550</xdr:colOff>
      <xdr:row>70</xdr:row>
      <xdr:rowOff>161925</xdr:rowOff>
    </xdr:from>
    <xdr:ext cx="1028700" cy="266700"/>
    <xdr:sp>
      <xdr:nvSpPr>
        <xdr:cNvPr id="51" name="ZoneTexte 77"/>
        <xdr:cNvSpPr txBox="1">
          <a:spLocks noChangeArrowheads="1"/>
        </xdr:cNvSpPr>
      </xdr:nvSpPr>
      <xdr:spPr>
        <a:xfrm>
          <a:off x="4914900" y="13830300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60% x 50%</a:t>
          </a:r>
        </a:p>
      </xdr:txBody>
    </xdr:sp>
    <xdr:clientData/>
  </xdr:oneCellAnchor>
  <xdr:oneCellAnchor>
    <xdr:from>
      <xdr:col>6</xdr:col>
      <xdr:colOff>257175</xdr:colOff>
      <xdr:row>69</xdr:row>
      <xdr:rowOff>152400</xdr:rowOff>
    </xdr:from>
    <xdr:ext cx="1752600" cy="266700"/>
    <xdr:sp>
      <xdr:nvSpPr>
        <xdr:cNvPr id="52" name="ZoneTexte 80"/>
        <xdr:cNvSpPr txBox="1">
          <a:spLocks noChangeArrowheads="1"/>
        </xdr:cNvSpPr>
      </xdr:nvSpPr>
      <xdr:spPr>
        <a:xfrm>
          <a:off x="6981825" y="13630275"/>
          <a:ext cx="1752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déterminer avec le client</a:t>
          </a:r>
        </a:p>
      </xdr:txBody>
    </xdr:sp>
    <xdr:clientData/>
  </xdr:oneCellAnchor>
  <xdr:oneCellAnchor>
    <xdr:from>
      <xdr:col>6</xdr:col>
      <xdr:colOff>257175</xdr:colOff>
      <xdr:row>70</xdr:row>
      <xdr:rowOff>152400</xdr:rowOff>
    </xdr:from>
    <xdr:ext cx="1752600" cy="266700"/>
    <xdr:sp>
      <xdr:nvSpPr>
        <xdr:cNvPr id="53" name="ZoneTexte 81"/>
        <xdr:cNvSpPr txBox="1">
          <a:spLocks noChangeArrowheads="1"/>
        </xdr:cNvSpPr>
      </xdr:nvSpPr>
      <xdr:spPr>
        <a:xfrm>
          <a:off x="6981825" y="13820775"/>
          <a:ext cx="1752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déterminer avec le client</a:t>
          </a:r>
        </a:p>
      </xdr:txBody>
    </xdr:sp>
    <xdr:clientData/>
  </xdr:oneCellAnchor>
  <xdr:twoCellAnchor>
    <xdr:from>
      <xdr:col>1</xdr:col>
      <xdr:colOff>371475</xdr:colOff>
      <xdr:row>58</xdr:row>
      <xdr:rowOff>152400</xdr:rowOff>
    </xdr:from>
    <xdr:to>
      <xdr:col>8</xdr:col>
      <xdr:colOff>447675</xdr:colOff>
      <xdr:row>58</xdr:row>
      <xdr:rowOff>152400</xdr:rowOff>
    </xdr:to>
    <xdr:sp>
      <xdr:nvSpPr>
        <xdr:cNvPr id="54" name="Connecteur droit 69"/>
        <xdr:cNvSpPr>
          <a:spLocks/>
        </xdr:cNvSpPr>
      </xdr:nvSpPr>
      <xdr:spPr>
        <a:xfrm>
          <a:off x="800100" y="1167765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60</xdr:row>
      <xdr:rowOff>0</xdr:rowOff>
    </xdr:from>
    <xdr:to>
      <xdr:col>8</xdr:col>
      <xdr:colOff>428625</xdr:colOff>
      <xdr:row>60</xdr:row>
      <xdr:rowOff>0</xdr:rowOff>
    </xdr:to>
    <xdr:sp>
      <xdr:nvSpPr>
        <xdr:cNvPr id="55" name="Connecteur droit 70"/>
        <xdr:cNvSpPr>
          <a:spLocks/>
        </xdr:cNvSpPr>
      </xdr:nvSpPr>
      <xdr:spPr>
        <a:xfrm>
          <a:off x="781050" y="1190625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61</xdr:row>
      <xdr:rowOff>19050</xdr:rowOff>
    </xdr:from>
    <xdr:to>
      <xdr:col>8</xdr:col>
      <xdr:colOff>438150</xdr:colOff>
      <xdr:row>61</xdr:row>
      <xdr:rowOff>19050</xdr:rowOff>
    </xdr:to>
    <xdr:sp>
      <xdr:nvSpPr>
        <xdr:cNvPr id="56" name="Connecteur droit 71"/>
        <xdr:cNvSpPr>
          <a:spLocks/>
        </xdr:cNvSpPr>
      </xdr:nvSpPr>
      <xdr:spPr>
        <a:xfrm>
          <a:off x="790575" y="121062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62</xdr:row>
      <xdr:rowOff>9525</xdr:rowOff>
    </xdr:from>
    <xdr:to>
      <xdr:col>8</xdr:col>
      <xdr:colOff>457200</xdr:colOff>
      <xdr:row>62</xdr:row>
      <xdr:rowOff>9525</xdr:rowOff>
    </xdr:to>
    <xdr:sp>
      <xdr:nvSpPr>
        <xdr:cNvPr id="57" name="Connecteur droit 72"/>
        <xdr:cNvSpPr>
          <a:spLocks/>
        </xdr:cNvSpPr>
      </xdr:nvSpPr>
      <xdr:spPr>
        <a:xfrm flipV="1">
          <a:off x="790575" y="12296775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56</xdr:row>
      <xdr:rowOff>180975</xdr:rowOff>
    </xdr:from>
    <xdr:to>
      <xdr:col>8</xdr:col>
      <xdr:colOff>447675</xdr:colOff>
      <xdr:row>56</xdr:row>
      <xdr:rowOff>180975</xdr:rowOff>
    </xdr:to>
    <xdr:sp>
      <xdr:nvSpPr>
        <xdr:cNvPr id="58" name="Connecteur droit 84"/>
        <xdr:cNvSpPr>
          <a:spLocks/>
        </xdr:cNvSpPr>
      </xdr:nvSpPr>
      <xdr:spPr>
        <a:xfrm>
          <a:off x="800100" y="1132522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1800225</xdr:colOff>
      <xdr:row>57</xdr:row>
      <xdr:rowOff>19050</xdr:rowOff>
    </xdr:from>
    <xdr:to>
      <xdr:col>1</xdr:col>
      <xdr:colOff>1809750</xdr:colOff>
      <xdr:row>62</xdr:row>
      <xdr:rowOff>9525</xdr:rowOff>
    </xdr:to>
    <xdr:sp>
      <xdr:nvSpPr>
        <xdr:cNvPr id="59" name="Connecteur droit 87"/>
        <xdr:cNvSpPr>
          <a:spLocks/>
        </xdr:cNvSpPr>
      </xdr:nvSpPr>
      <xdr:spPr>
        <a:xfrm rot="5400000">
          <a:off x="2228850" y="113538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2867025</xdr:colOff>
      <xdr:row>56</xdr:row>
      <xdr:rowOff>180975</xdr:rowOff>
    </xdr:from>
    <xdr:to>
      <xdr:col>1</xdr:col>
      <xdr:colOff>2876550</xdr:colOff>
      <xdr:row>61</xdr:row>
      <xdr:rowOff>180975</xdr:rowOff>
    </xdr:to>
    <xdr:sp>
      <xdr:nvSpPr>
        <xdr:cNvPr id="60" name="Connecteur droit 88"/>
        <xdr:cNvSpPr>
          <a:spLocks/>
        </xdr:cNvSpPr>
      </xdr:nvSpPr>
      <xdr:spPr>
        <a:xfrm rot="5400000">
          <a:off x="3295650" y="113252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57</xdr:row>
      <xdr:rowOff>19050</xdr:rowOff>
    </xdr:from>
    <xdr:to>
      <xdr:col>3</xdr:col>
      <xdr:colOff>47625</xdr:colOff>
      <xdr:row>62</xdr:row>
      <xdr:rowOff>9525</xdr:rowOff>
    </xdr:to>
    <xdr:sp>
      <xdr:nvSpPr>
        <xdr:cNvPr id="61" name="Connecteur droit 89"/>
        <xdr:cNvSpPr>
          <a:spLocks/>
        </xdr:cNvSpPr>
      </xdr:nvSpPr>
      <xdr:spPr>
        <a:xfrm rot="5400000">
          <a:off x="4362450" y="113538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57</xdr:row>
      <xdr:rowOff>19050</xdr:rowOff>
    </xdr:from>
    <xdr:to>
      <xdr:col>6</xdr:col>
      <xdr:colOff>161925</xdr:colOff>
      <xdr:row>62</xdr:row>
      <xdr:rowOff>9525</xdr:rowOff>
    </xdr:to>
    <xdr:sp>
      <xdr:nvSpPr>
        <xdr:cNvPr id="62" name="Connecteur droit 90"/>
        <xdr:cNvSpPr>
          <a:spLocks/>
        </xdr:cNvSpPr>
      </xdr:nvSpPr>
      <xdr:spPr>
        <a:xfrm rot="5400000">
          <a:off x="6877050" y="113538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57</xdr:row>
      <xdr:rowOff>0</xdr:rowOff>
    </xdr:from>
    <xdr:to>
      <xdr:col>8</xdr:col>
      <xdr:colOff>438150</xdr:colOff>
      <xdr:row>61</xdr:row>
      <xdr:rowOff>190500</xdr:rowOff>
    </xdr:to>
    <xdr:sp>
      <xdr:nvSpPr>
        <xdr:cNvPr id="63" name="Connecteur droit 91"/>
        <xdr:cNvSpPr>
          <a:spLocks/>
        </xdr:cNvSpPr>
      </xdr:nvSpPr>
      <xdr:spPr>
        <a:xfrm rot="5400000">
          <a:off x="8801100" y="1133475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57</xdr:row>
      <xdr:rowOff>9525</xdr:rowOff>
    </xdr:from>
    <xdr:to>
      <xdr:col>1</xdr:col>
      <xdr:colOff>371475</xdr:colOff>
      <xdr:row>62</xdr:row>
      <xdr:rowOff>0</xdr:rowOff>
    </xdr:to>
    <xdr:sp>
      <xdr:nvSpPr>
        <xdr:cNvPr id="64" name="Connecteur droit 93"/>
        <xdr:cNvSpPr>
          <a:spLocks/>
        </xdr:cNvSpPr>
      </xdr:nvSpPr>
      <xdr:spPr>
        <a:xfrm rot="5400000">
          <a:off x="790575" y="113442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72</xdr:row>
      <xdr:rowOff>57150</xdr:rowOff>
    </xdr:from>
    <xdr:to>
      <xdr:col>8</xdr:col>
      <xdr:colOff>276225</xdr:colOff>
      <xdr:row>72</xdr:row>
      <xdr:rowOff>57150</xdr:rowOff>
    </xdr:to>
    <xdr:sp>
      <xdr:nvSpPr>
        <xdr:cNvPr id="65" name="Connecteur droit 98"/>
        <xdr:cNvSpPr>
          <a:spLocks/>
        </xdr:cNvSpPr>
      </xdr:nvSpPr>
      <xdr:spPr>
        <a:xfrm>
          <a:off x="628650" y="1410652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68</xdr:row>
      <xdr:rowOff>152400</xdr:rowOff>
    </xdr:from>
    <xdr:to>
      <xdr:col>8</xdr:col>
      <xdr:colOff>285750</xdr:colOff>
      <xdr:row>68</xdr:row>
      <xdr:rowOff>152400</xdr:rowOff>
    </xdr:to>
    <xdr:sp>
      <xdr:nvSpPr>
        <xdr:cNvPr id="66" name="Connecteur droit 99"/>
        <xdr:cNvSpPr>
          <a:spLocks/>
        </xdr:cNvSpPr>
      </xdr:nvSpPr>
      <xdr:spPr>
        <a:xfrm>
          <a:off x="638175" y="134397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69</xdr:row>
      <xdr:rowOff>171450</xdr:rowOff>
    </xdr:from>
    <xdr:to>
      <xdr:col>8</xdr:col>
      <xdr:colOff>276225</xdr:colOff>
      <xdr:row>69</xdr:row>
      <xdr:rowOff>171450</xdr:rowOff>
    </xdr:to>
    <xdr:sp>
      <xdr:nvSpPr>
        <xdr:cNvPr id="67" name="Connecteur droit 100"/>
        <xdr:cNvSpPr>
          <a:spLocks/>
        </xdr:cNvSpPr>
      </xdr:nvSpPr>
      <xdr:spPr>
        <a:xfrm>
          <a:off x="628650" y="1364932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71</xdr:row>
      <xdr:rowOff>0</xdr:rowOff>
    </xdr:from>
    <xdr:to>
      <xdr:col>8</xdr:col>
      <xdr:colOff>285750</xdr:colOff>
      <xdr:row>71</xdr:row>
      <xdr:rowOff>0</xdr:rowOff>
    </xdr:to>
    <xdr:sp>
      <xdr:nvSpPr>
        <xdr:cNvPr id="68" name="Connecteur droit 101"/>
        <xdr:cNvSpPr>
          <a:spLocks/>
        </xdr:cNvSpPr>
      </xdr:nvSpPr>
      <xdr:spPr>
        <a:xfrm>
          <a:off x="638175" y="138588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66</xdr:row>
      <xdr:rowOff>180975</xdr:rowOff>
    </xdr:from>
    <xdr:to>
      <xdr:col>1</xdr:col>
      <xdr:colOff>200025</xdr:colOff>
      <xdr:row>72</xdr:row>
      <xdr:rowOff>47625</xdr:rowOff>
    </xdr:to>
    <xdr:sp>
      <xdr:nvSpPr>
        <xdr:cNvPr id="69" name="Connecteur droit 102"/>
        <xdr:cNvSpPr>
          <a:spLocks/>
        </xdr:cNvSpPr>
      </xdr:nvSpPr>
      <xdr:spPr>
        <a:xfrm rot="5400000">
          <a:off x="609600" y="13087350"/>
          <a:ext cx="190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1609725</xdr:colOff>
      <xdr:row>66</xdr:row>
      <xdr:rowOff>180975</xdr:rowOff>
    </xdr:from>
    <xdr:to>
      <xdr:col>1</xdr:col>
      <xdr:colOff>1628775</xdr:colOff>
      <xdr:row>72</xdr:row>
      <xdr:rowOff>66675</xdr:rowOff>
    </xdr:to>
    <xdr:sp>
      <xdr:nvSpPr>
        <xdr:cNvPr id="70" name="Connecteur droit 103"/>
        <xdr:cNvSpPr>
          <a:spLocks/>
        </xdr:cNvSpPr>
      </xdr:nvSpPr>
      <xdr:spPr>
        <a:xfrm rot="5400000">
          <a:off x="2038350" y="13087350"/>
          <a:ext cx="19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2838450</xdr:colOff>
      <xdr:row>67</xdr:row>
      <xdr:rowOff>9525</xdr:rowOff>
    </xdr:from>
    <xdr:to>
      <xdr:col>1</xdr:col>
      <xdr:colOff>2857500</xdr:colOff>
      <xdr:row>72</xdr:row>
      <xdr:rowOff>76200</xdr:rowOff>
    </xdr:to>
    <xdr:sp>
      <xdr:nvSpPr>
        <xdr:cNvPr id="71" name="Connecteur droit 104"/>
        <xdr:cNvSpPr>
          <a:spLocks/>
        </xdr:cNvSpPr>
      </xdr:nvSpPr>
      <xdr:spPr>
        <a:xfrm rot="5400000">
          <a:off x="3267075" y="13106400"/>
          <a:ext cx="190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66</xdr:row>
      <xdr:rowOff>180975</xdr:rowOff>
    </xdr:from>
    <xdr:to>
      <xdr:col>3</xdr:col>
      <xdr:colOff>476250</xdr:colOff>
      <xdr:row>72</xdr:row>
      <xdr:rowOff>76200</xdr:rowOff>
    </xdr:to>
    <xdr:sp>
      <xdr:nvSpPr>
        <xdr:cNvPr id="72" name="Connecteur droit 105"/>
        <xdr:cNvSpPr>
          <a:spLocks/>
        </xdr:cNvSpPr>
      </xdr:nvSpPr>
      <xdr:spPr>
        <a:xfrm rot="5400000">
          <a:off x="4781550" y="13087350"/>
          <a:ext cx="190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67</xdr:row>
      <xdr:rowOff>19050</xdr:rowOff>
    </xdr:from>
    <xdr:to>
      <xdr:col>5</xdr:col>
      <xdr:colOff>0</xdr:colOff>
      <xdr:row>72</xdr:row>
      <xdr:rowOff>66675</xdr:rowOff>
    </xdr:to>
    <xdr:sp>
      <xdr:nvSpPr>
        <xdr:cNvPr id="73" name="Connecteur droit 106"/>
        <xdr:cNvSpPr>
          <a:spLocks/>
        </xdr:cNvSpPr>
      </xdr:nvSpPr>
      <xdr:spPr>
        <a:xfrm rot="5400000">
          <a:off x="5867400" y="13115925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67</xdr:row>
      <xdr:rowOff>0</xdr:rowOff>
    </xdr:from>
    <xdr:to>
      <xdr:col>6</xdr:col>
      <xdr:colOff>247650</xdr:colOff>
      <xdr:row>72</xdr:row>
      <xdr:rowOff>47625</xdr:rowOff>
    </xdr:to>
    <xdr:sp>
      <xdr:nvSpPr>
        <xdr:cNvPr id="74" name="Connecteur droit 107"/>
        <xdr:cNvSpPr>
          <a:spLocks/>
        </xdr:cNvSpPr>
      </xdr:nvSpPr>
      <xdr:spPr>
        <a:xfrm rot="5400000">
          <a:off x="6953250" y="13096875"/>
          <a:ext cx="19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67</xdr:row>
      <xdr:rowOff>9525</xdr:rowOff>
    </xdr:from>
    <xdr:to>
      <xdr:col>8</xdr:col>
      <xdr:colOff>304800</xdr:colOff>
      <xdr:row>72</xdr:row>
      <xdr:rowOff>57150</xdr:rowOff>
    </xdr:to>
    <xdr:sp>
      <xdr:nvSpPr>
        <xdr:cNvPr id="75" name="Connecteur droit 108"/>
        <xdr:cNvSpPr>
          <a:spLocks/>
        </xdr:cNvSpPr>
      </xdr:nvSpPr>
      <xdr:spPr>
        <a:xfrm rot="5400000">
          <a:off x="8658225" y="13106400"/>
          <a:ext cx="19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66</xdr:row>
      <xdr:rowOff>180975</xdr:rowOff>
    </xdr:from>
    <xdr:to>
      <xdr:col>8</xdr:col>
      <xdr:colOff>295275</xdr:colOff>
      <xdr:row>66</xdr:row>
      <xdr:rowOff>180975</xdr:rowOff>
    </xdr:to>
    <xdr:sp>
      <xdr:nvSpPr>
        <xdr:cNvPr id="76" name="Connecteur droit 109"/>
        <xdr:cNvSpPr>
          <a:spLocks/>
        </xdr:cNvSpPr>
      </xdr:nvSpPr>
      <xdr:spPr>
        <a:xfrm flipV="1">
          <a:off x="628650" y="130873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180975</xdr:colOff>
      <xdr:row>72</xdr:row>
      <xdr:rowOff>57150</xdr:rowOff>
    </xdr:from>
    <xdr:ext cx="1123950" cy="266700"/>
    <xdr:sp>
      <xdr:nvSpPr>
        <xdr:cNvPr id="77" name="ZoneTexte 119"/>
        <xdr:cNvSpPr txBox="1">
          <a:spLocks noChangeArrowheads="1"/>
        </xdr:cNvSpPr>
      </xdr:nvSpPr>
      <xdr:spPr>
        <a:xfrm>
          <a:off x="5267325" y="14106525"/>
          <a:ext cx="112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xdr:txBody>
    </xdr:sp>
    <xdr:clientData/>
  </xdr:oneCellAnchor>
  <xdr:oneCellAnchor>
    <xdr:from>
      <xdr:col>1</xdr:col>
      <xdr:colOff>142875</xdr:colOff>
      <xdr:row>55</xdr:row>
      <xdr:rowOff>85725</xdr:rowOff>
    </xdr:from>
    <xdr:ext cx="4381500" cy="228600"/>
    <xdr:sp>
      <xdr:nvSpPr>
        <xdr:cNvPr id="78" name="ZoneTexte 120"/>
        <xdr:cNvSpPr txBox="1">
          <a:spLocks noChangeArrowheads="1"/>
        </xdr:cNvSpPr>
      </xdr:nvSpPr>
      <xdr:spPr>
        <a:xfrm>
          <a:off x="571500" y="11039475"/>
          <a:ext cx="438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TABLEAU 1ère page</a:t>
          </a: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(montant et nombre de parts indiqués dans l'étape 2)</a:t>
          </a:r>
        </a:p>
      </xdr:txBody>
    </xdr:sp>
    <xdr:clientData/>
  </xdr:oneCellAnchor>
  <xdr:oneCellAnchor>
    <xdr:from>
      <xdr:col>1</xdr:col>
      <xdr:colOff>152400</xdr:colOff>
      <xdr:row>64</xdr:row>
      <xdr:rowOff>9525</xdr:rowOff>
    </xdr:from>
    <xdr:ext cx="4448175" cy="228600"/>
    <xdr:sp>
      <xdr:nvSpPr>
        <xdr:cNvPr id="79" name="ZoneTexte 121"/>
        <xdr:cNvSpPr txBox="1">
          <a:spLocks noChangeArrowheads="1"/>
        </xdr:cNvSpPr>
      </xdr:nvSpPr>
      <xdr:spPr>
        <a:xfrm>
          <a:off x="581025" y="12534900"/>
          <a:ext cx="444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TABLEAU 2ème page </a:t>
          </a:r>
          <a:r>
            <a:rPr lang="en-US" cap="none" sz="11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(montant et nombre de parts indiqués dans l'étape 2)</a:t>
          </a:r>
        </a:p>
      </xdr:txBody>
    </xdr:sp>
    <xdr:clientData/>
  </xdr:oneCellAnchor>
  <xdr:oneCellAnchor>
    <xdr:from>
      <xdr:col>1</xdr:col>
      <xdr:colOff>161925</xdr:colOff>
      <xdr:row>65</xdr:row>
      <xdr:rowOff>85725</xdr:rowOff>
    </xdr:from>
    <xdr:ext cx="2905125" cy="228600"/>
    <xdr:sp>
      <xdr:nvSpPr>
        <xdr:cNvPr id="80" name="ZoneTexte 122"/>
        <xdr:cNvSpPr txBox="1">
          <a:spLocks noChangeArrowheads="1"/>
        </xdr:cNvSpPr>
      </xdr:nvSpPr>
      <xdr:spPr>
        <a:xfrm>
          <a:off x="590550" y="1280160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Information sur la réduction ISF 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souscription</a:t>
          </a:r>
        </a:p>
      </xdr:txBody>
    </xdr:sp>
    <xdr:clientData/>
  </xdr:oneCellAnchor>
  <xdr:twoCellAnchor>
    <xdr:from>
      <xdr:col>11</xdr:col>
      <xdr:colOff>276225</xdr:colOff>
      <xdr:row>10</xdr:row>
      <xdr:rowOff>57150</xdr:rowOff>
    </xdr:from>
    <xdr:to>
      <xdr:col>11</xdr:col>
      <xdr:colOff>276225</xdr:colOff>
      <xdr:row>10</xdr:row>
      <xdr:rowOff>104775</xdr:rowOff>
    </xdr:to>
    <xdr:sp fLocksText="0">
      <xdr:nvSpPr>
        <xdr:cNvPr id="81" name="ZoneTexte 92"/>
        <xdr:cNvSpPr txBox="1">
          <a:spLocks noChangeArrowheads="1"/>
        </xdr:cNvSpPr>
      </xdr:nvSpPr>
      <xdr:spPr>
        <a:xfrm>
          <a:off x="10391775" y="19621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19</xdr:col>
      <xdr:colOff>142875</xdr:colOff>
      <xdr:row>75</xdr:row>
      <xdr:rowOff>247650</xdr:rowOff>
    </xdr:to>
    <xdr:grpSp>
      <xdr:nvGrpSpPr>
        <xdr:cNvPr id="82" name="Groupe 117"/>
        <xdr:cNvGrpSpPr>
          <a:grpSpLocks/>
        </xdr:cNvGrpSpPr>
      </xdr:nvGrpSpPr>
      <xdr:grpSpPr>
        <a:xfrm>
          <a:off x="123825" y="66675"/>
          <a:ext cx="16297275" cy="14687550"/>
          <a:chOff x="123825" y="66675"/>
          <a:chExt cx="16329473" cy="13058775"/>
        </a:xfrm>
        <a:solidFill>
          <a:srgbClr val="FFFFFF"/>
        </a:solidFill>
      </xdr:grpSpPr>
      <xdr:sp>
        <xdr:nvSpPr>
          <xdr:cNvPr id="83" name="Connecteur droit 95"/>
          <xdr:cNvSpPr>
            <a:spLocks/>
          </xdr:cNvSpPr>
        </xdr:nvSpPr>
        <xdr:spPr>
          <a:xfrm flipH="1">
            <a:off x="123825" y="337645"/>
            <a:ext cx="20412" cy="12516836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Parenthèse ouvrante 97"/>
          <xdr:cNvSpPr>
            <a:spLocks/>
          </xdr:cNvSpPr>
        </xdr:nvSpPr>
        <xdr:spPr>
          <a:xfrm rot="5400000">
            <a:off x="5030832" y="-4820571"/>
            <a:ext cx="269436" cy="10048727"/>
          </a:xfrm>
          <a:prstGeom prst="leftBracket">
            <a:avLst>
              <a:gd name="adj" fmla="val -47893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Parenthèse ouvrante 112"/>
          <xdr:cNvSpPr>
            <a:spLocks/>
          </xdr:cNvSpPr>
        </xdr:nvSpPr>
        <xdr:spPr>
          <a:xfrm rot="16200000">
            <a:off x="123825" y="12854480"/>
            <a:ext cx="10050791" cy="270970"/>
          </a:xfrm>
          <a:prstGeom prst="leftBracket">
            <a:avLst>
              <a:gd name="adj" fmla="val -47893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Connecteur droit 115"/>
          <xdr:cNvSpPr>
            <a:spLocks/>
          </xdr:cNvSpPr>
        </xdr:nvSpPr>
        <xdr:spPr>
          <a:xfrm rot="5400000">
            <a:off x="3912263" y="6573210"/>
            <a:ext cx="12541035" cy="19588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390525</xdr:colOff>
      <xdr:row>7</xdr:row>
      <xdr:rowOff>104775</xdr:rowOff>
    </xdr:from>
    <xdr:to>
      <xdr:col>4</xdr:col>
      <xdr:colOff>161925</xdr:colOff>
      <xdr:row>19</xdr:row>
      <xdr:rowOff>19050</xdr:rowOff>
    </xdr:to>
    <xdr:grpSp>
      <xdr:nvGrpSpPr>
        <xdr:cNvPr id="87" name="Groupe 147"/>
        <xdr:cNvGrpSpPr>
          <a:grpSpLocks/>
        </xdr:cNvGrpSpPr>
      </xdr:nvGrpSpPr>
      <xdr:grpSpPr>
        <a:xfrm>
          <a:off x="390525" y="1438275"/>
          <a:ext cx="4857750" cy="2200275"/>
          <a:chOff x="390525" y="1476375"/>
          <a:chExt cx="4865394" cy="2155608"/>
        </a:xfrm>
        <a:solidFill>
          <a:srgbClr val="FFFFFF"/>
        </a:solidFill>
      </xdr:grpSpPr>
      <xdr:sp>
        <xdr:nvSpPr>
          <xdr:cNvPr id="88" name="Connecteur droit 124"/>
          <xdr:cNvSpPr>
            <a:spLocks/>
          </xdr:cNvSpPr>
        </xdr:nvSpPr>
        <xdr:spPr>
          <a:xfrm flipH="1">
            <a:off x="390525" y="1634812"/>
            <a:ext cx="9731" cy="1405995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Parenthèse ouvrante 125"/>
          <xdr:cNvSpPr>
            <a:spLocks/>
          </xdr:cNvSpPr>
        </xdr:nvSpPr>
        <xdr:spPr>
          <a:xfrm rot="5400000">
            <a:off x="2397500" y="-520256"/>
            <a:ext cx="158125" cy="4152779"/>
          </a:xfrm>
          <a:prstGeom prst="leftBracket">
            <a:avLst>
              <a:gd name="adj" fmla="val -47023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Parenthèse ouvrante 126"/>
          <xdr:cNvSpPr>
            <a:spLocks/>
          </xdr:cNvSpPr>
        </xdr:nvSpPr>
        <xdr:spPr>
          <a:xfrm rot="16200000">
            <a:off x="390525" y="3040808"/>
            <a:ext cx="4152614" cy="102391"/>
          </a:xfrm>
          <a:prstGeom prst="leftBracket">
            <a:avLst>
              <a:gd name="adj" fmla="val -48074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Connecteur droit 127"/>
          <xdr:cNvSpPr>
            <a:spLocks/>
          </xdr:cNvSpPr>
        </xdr:nvSpPr>
        <xdr:spPr>
          <a:xfrm rot="5400000">
            <a:off x="3840089" y="2328379"/>
            <a:ext cx="1415830" cy="9700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7</xdr:row>
      <xdr:rowOff>104775</xdr:rowOff>
    </xdr:from>
    <xdr:to>
      <xdr:col>12</xdr:col>
      <xdr:colOff>333375</xdr:colOff>
      <xdr:row>19</xdr:row>
      <xdr:rowOff>66675</xdr:rowOff>
    </xdr:to>
    <xdr:grpSp>
      <xdr:nvGrpSpPr>
        <xdr:cNvPr id="92" name="Groupe 135"/>
        <xdr:cNvGrpSpPr>
          <a:grpSpLocks/>
        </xdr:cNvGrpSpPr>
      </xdr:nvGrpSpPr>
      <xdr:grpSpPr>
        <a:xfrm>
          <a:off x="4914900" y="1438275"/>
          <a:ext cx="5810250" cy="2247900"/>
          <a:chOff x="390525" y="1476375"/>
          <a:chExt cx="4868910" cy="2150095"/>
        </a:xfrm>
        <a:solidFill>
          <a:srgbClr val="FFFFFF"/>
        </a:solidFill>
      </xdr:grpSpPr>
      <xdr:sp>
        <xdr:nvSpPr>
          <xdr:cNvPr id="93" name="Connecteur droit 136"/>
          <xdr:cNvSpPr>
            <a:spLocks/>
          </xdr:cNvSpPr>
        </xdr:nvSpPr>
        <xdr:spPr>
          <a:xfrm flipH="1">
            <a:off x="390525" y="1622044"/>
            <a:ext cx="8521" cy="1420675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Parenthèse ouvrante 137"/>
          <xdr:cNvSpPr>
            <a:spLocks/>
          </xdr:cNvSpPr>
        </xdr:nvSpPr>
        <xdr:spPr>
          <a:xfrm rot="5400000">
            <a:off x="2402602" y="-527513"/>
            <a:ext cx="146067" cy="4154521"/>
          </a:xfrm>
          <a:prstGeom prst="leftBracket">
            <a:avLst>
              <a:gd name="adj" fmla="val -47259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Parenthèse ouvrante 138"/>
          <xdr:cNvSpPr>
            <a:spLocks/>
          </xdr:cNvSpPr>
        </xdr:nvSpPr>
        <xdr:spPr>
          <a:xfrm rot="16200000">
            <a:off x="390525" y="3043257"/>
            <a:ext cx="4154397" cy="99979"/>
          </a:xfrm>
          <a:prstGeom prst="leftBracket">
            <a:avLst>
              <a:gd name="adj" fmla="val -48115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Connecteur droit 139"/>
          <xdr:cNvSpPr>
            <a:spLocks/>
          </xdr:cNvSpPr>
        </xdr:nvSpPr>
        <xdr:spPr>
          <a:xfrm rot="5400000">
            <a:off x="3838931" y="2328350"/>
            <a:ext cx="1420504" cy="8063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17</xdr:row>
      <xdr:rowOff>28575</xdr:rowOff>
    </xdr:from>
    <xdr:to>
      <xdr:col>12</xdr:col>
      <xdr:colOff>285750</xdr:colOff>
      <xdr:row>23</xdr:row>
      <xdr:rowOff>152400</xdr:rowOff>
    </xdr:to>
    <xdr:grpSp>
      <xdr:nvGrpSpPr>
        <xdr:cNvPr id="97" name="Groupe 153"/>
        <xdr:cNvGrpSpPr>
          <a:grpSpLocks/>
        </xdr:cNvGrpSpPr>
      </xdr:nvGrpSpPr>
      <xdr:grpSpPr>
        <a:xfrm>
          <a:off x="4914900" y="3267075"/>
          <a:ext cx="5762625" cy="1257300"/>
          <a:chOff x="390525" y="1476375"/>
          <a:chExt cx="4852946" cy="2158912"/>
        </a:xfrm>
        <a:solidFill>
          <a:srgbClr val="FFFFFF"/>
        </a:solidFill>
      </xdr:grpSpPr>
      <xdr:sp>
        <xdr:nvSpPr>
          <xdr:cNvPr id="98" name="Connecteur droit 154"/>
          <xdr:cNvSpPr>
            <a:spLocks/>
          </xdr:cNvSpPr>
        </xdr:nvSpPr>
        <xdr:spPr>
          <a:xfrm flipH="1">
            <a:off x="390525" y="1639913"/>
            <a:ext cx="8493" cy="1389260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Parenthèse ouvrante 155"/>
          <xdr:cNvSpPr>
            <a:spLocks/>
          </xdr:cNvSpPr>
        </xdr:nvSpPr>
        <xdr:spPr>
          <a:xfrm rot="5400000">
            <a:off x="2393578" y="-518459"/>
            <a:ext cx="163787" cy="4154286"/>
          </a:xfrm>
          <a:prstGeom prst="leftBracket">
            <a:avLst>
              <a:gd name="adj" fmla="val -46930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Parenthèse ouvrante 156"/>
          <xdr:cNvSpPr>
            <a:spLocks/>
          </xdr:cNvSpPr>
        </xdr:nvSpPr>
        <xdr:spPr>
          <a:xfrm rot="16200000">
            <a:off x="390525" y="3028633"/>
            <a:ext cx="4154122" cy="114422"/>
          </a:xfrm>
          <a:prstGeom prst="leftBracket">
            <a:avLst>
              <a:gd name="adj" fmla="val -47851"/>
            </a:avLst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Connecteur droit 157"/>
          <xdr:cNvSpPr>
            <a:spLocks/>
          </xdr:cNvSpPr>
        </xdr:nvSpPr>
        <xdr:spPr>
          <a:xfrm rot="5400000">
            <a:off x="3854315" y="2330225"/>
            <a:ext cx="1389156" cy="8096"/>
          </a:xfrm>
          <a:prstGeom prst="line">
            <a:avLst/>
          </a:prstGeom>
          <a:noFill/>
          <a:ln w="19050" cmpd="sng">
            <a:solidFill>
              <a:srgbClr val="00485E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W75"/>
  <sheetViews>
    <sheetView showGridLines="0" tabSelected="1" zoomScalePageLayoutView="0" workbookViewId="0" topLeftCell="A1">
      <selection activeCell="E11" sqref="E11:H11"/>
    </sheetView>
  </sheetViews>
  <sheetFormatPr defaultColWidth="11.421875" defaultRowHeight="15"/>
  <cols>
    <col min="1" max="1" width="6.421875" style="2" customWidth="1"/>
    <col min="2" max="2" width="45.140625" style="2" bestFit="1" customWidth="1"/>
    <col min="3" max="3" width="13.28125" style="2" bestFit="1" customWidth="1"/>
    <col min="4" max="4" width="11.421875" style="2" customWidth="1"/>
    <col min="5" max="5" width="11.8515625" style="2" customWidth="1"/>
    <col min="6" max="6" width="12.7109375" style="2" customWidth="1"/>
    <col min="7" max="7" width="12.57421875" style="2" customWidth="1"/>
    <col min="8" max="8" width="12.140625" style="2" customWidth="1"/>
    <col min="9" max="9" width="12.57421875" style="2" customWidth="1"/>
    <col min="10" max="10" width="7.8515625" style="2" customWidth="1"/>
    <col min="11" max="11" width="5.7109375" style="2" customWidth="1"/>
    <col min="12" max="12" width="4.140625" style="26" customWidth="1"/>
    <col min="13" max="13" width="11.421875" style="25" customWidth="1"/>
    <col min="14" max="14" width="16.140625" style="25" customWidth="1"/>
    <col min="15" max="15" width="11.8515625" style="25" customWidth="1"/>
    <col min="16" max="17" width="11.421875" style="25" customWidth="1"/>
    <col min="18" max="18" width="14.57421875" style="25" customWidth="1"/>
    <col min="19" max="20" width="11.421875" style="25" customWidth="1"/>
    <col min="21" max="21" width="14.140625" style="25" customWidth="1"/>
    <col min="22" max="22" width="12.7109375" style="25" customWidth="1"/>
    <col min="23" max="23" width="11.421875" style="25" customWidth="1"/>
    <col min="24" max="25" width="11.421875" style="36" customWidth="1"/>
    <col min="26" max="30" width="11.421875" style="7" customWidth="1"/>
    <col min="31" max="16384" width="11.421875" style="2" customWidth="1"/>
  </cols>
  <sheetData>
    <row r="1" ht="15"/>
    <row r="2" ht="15"/>
    <row r="3" ht="15"/>
    <row r="4" ht="15">
      <c r="N4" s="29">
        <v>2</v>
      </c>
    </row>
    <row r="5" ht="15"/>
    <row r="6" ht="15">
      <c r="N6" s="25">
        <f>IF(C13="non",C15*25%,(C15/(1+O15)*(O14)*50%))</f>
        <v>14285.714285714284</v>
      </c>
    </row>
    <row r="7" ht="15"/>
    <row r="8" ht="15"/>
    <row r="9" ht="15"/>
    <row r="10" ht="15"/>
    <row r="11" spans="2:15" ht="15">
      <c r="B11" s="2" t="s">
        <v>25</v>
      </c>
      <c r="C11" s="39" t="s">
        <v>1</v>
      </c>
      <c r="E11" s="53" t="s">
        <v>28</v>
      </c>
      <c r="F11" s="53"/>
      <c r="G11" s="53"/>
      <c r="H11" s="53"/>
      <c r="O11" s="25" t="s">
        <v>1</v>
      </c>
    </row>
    <row r="12" spans="3:15" ht="15">
      <c r="C12" s="3"/>
      <c r="O12" s="25" t="s">
        <v>2</v>
      </c>
    </row>
    <row r="13" spans="2:9" ht="15">
      <c r="B13" s="2" t="s">
        <v>0</v>
      </c>
      <c r="C13" s="39" t="s">
        <v>1</v>
      </c>
      <c r="E13" s="59" t="s">
        <v>33</v>
      </c>
      <c r="F13" s="59"/>
      <c r="G13" s="59"/>
      <c r="H13" s="59"/>
      <c r="I13" s="59"/>
    </row>
    <row r="14" spans="3:15" ht="15">
      <c r="C14" s="3"/>
      <c r="F14" s="4"/>
      <c r="G14" s="4"/>
      <c r="H14" s="4"/>
      <c r="I14" s="4"/>
      <c r="J14" s="4"/>
      <c r="N14" s="25" t="s">
        <v>4</v>
      </c>
      <c r="O14" s="30">
        <v>0.6</v>
      </c>
    </row>
    <row r="15" spans="2:15" ht="15">
      <c r="B15" s="2" t="str">
        <f>IF(N4=1,IF(C13="oui","Montant de la réduction ISF souhaitée","Montant de la réduction IR souhaitée"),"Montant de la souscription")</f>
        <v>Montant de la souscription</v>
      </c>
      <c r="C15" s="40">
        <v>50000</v>
      </c>
      <c r="E15" s="50" t="s">
        <v>8</v>
      </c>
      <c r="F15" s="50"/>
      <c r="G15" s="50" t="s">
        <v>9</v>
      </c>
      <c r="H15" s="50"/>
      <c r="I15" s="50" t="s">
        <v>14</v>
      </c>
      <c r="J15" s="50"/>
      <c r="N15" s="25" t="s">
        <v>3</v>
      </c>
      <c r="O15" s="30">
        <v>0.05</v>
      </c>
    </row>
    <row r="16" spans="2:18" ht="15">
      <c r="B16" s="5" t="s">
        <v>27</v>
      </c>
      <c r="C16" s="6">
        <v>0.05</v>
      </c>
      <c r="E16" s="54">
        <v>0.2</v>
      </c>
      <c r="F16" s="54"/>
      <c r="G16" s="55">
        <v>0.5</v>
      </c>
      <c r="H16" s="56"/>
      <c r="I16" s="57">
        <v>0.3</v>
      </c>
      <c r="J16" s="57"/>
      <c r="N16" s="25" t="s">
        <v>5</v>
      </c>
      <c r="O16" s="25">
        <f>IF(C11="oui",12000,6000)</f>
        <v>12000</v>
      </c>
      <c r="P16" s="25">
        <f>O16/0.25</f>
        <v>48000</v>
      </c>
      <c r="Q16" s="25">
        <f>O16/2</f>
        <v>6000</v>
      </c>
      <c r="R16" s="25">
        <f>P16/2</f>
        <v>24000</v>
      </c>
    </row>
    <row r="17" spans="3:16" ht="15">
      <c r="C17" s="3"/>
      <c r="E17" s="7">
        <f>IF((E16+G16+I16)=1,"","Attention, la somme de la solution doit être égaleà 100%")</f>
      </c>
      <c r="N17" s="25" t="s">
        <v>24</v>
      </c>
      <c r="O17" s="31">
        <v>20000</v>
      </c>
      <c r="P17" s="25">
        <f>O17*(1+O15)/O14/50%</f>
        <v>70000</v>
      </c>
    </row>
    <row r="18" spans="2:8" ht="15">
      <c r="B18" s="8" t="str">
        <f>IF(N4=1,"Je dois investir (frais d'entrée de 5% inclus)",IF(C13="oui","J'ai une réduction ISF de ","J'ai une réduction IR de "))</f>
        <v>J'ai une réduction ISF de </v>
      </c>
      <c r="C18" s="37">
        <f>IF(N4=1,(IF(C13="oui",(IF(C15&lt;=20000,C15/O14/0.5*(1+O15),20000/O14/0.5*(1+O15))),IF(C15&lt;=O16,C15/25%,O16/25%))),IF(C13="non",(IF((C15*25%)&lt;O16,C15*25%,O16)),IF((C15/(1+O15)*(O14)*50%)&lt;O17,(C15/(1+O15)*(O14)*50%),O17)))</f>
        <v>14285.714285714284</v>
      </c>
      <c r="G18" s="9" t="s">
        <v>13</v>
      </c>
      <c r="H18" s="9" t="s">
        <v>22</v>
      </c>
    </row>
    <row r="19" spans="2:14" ht="15" customHeight="1">
      <c r="B19" s="51">
        <f>CONCATENATE(N36,N37,N38)</f>
      </c>
      <c r="C19" s="51"/>
      <c r="E19" s="10" t="s">
        <v>8</v>
      </c>
      <c r="G19" s="11">
        <f>S60</f>
        <v>0</v>
      </c>
      <c r="H19" s="12">
        <f>U60</f>
        <v>0</v>
      </c>
      <c r="I19" s="5" t="s">
        <v>10</v>
      </c>
      <c r="N19" s="25" t="s">
        <v>28</v>
      </c>
    </row>
    <row r="20" spans="2:14" ht="15.75" customHeight="1">
      <c r="B20" s="51"/>
      <c r="C20" s="51"/>
      <c r="E20" s="10" t="s">
        <v>9</v>
      </c>
      <c r="G20" s="11">
        <f>S61</f>
        <v>48</v>
      </c>
      <c r="H20" s="12">
        <f>U61</f>
        <v>25200</v>
      </c>
      <c r="I20" s="5" t="s">
        <v>11</v>
      </c>
      <c r="N20" s="25" t="s">
        <v>7</v>
      </c>
    </row>
    <row r="21" spans="2:14" ht="12.75" customHeight="1">
      <c r="B21" s="51"/>
      <c r="C21" s="51"/>
      <c r="E21" s="10" t="s">
        <v>14</v>
      </c>
      <c r="G21" s="11">
        <f>S62</f>
        <v>48</v>
      </c>
      <c r="H21" s="12">
        <f>U62</f>
        <v>25200</v>
      </c>
      <c r="I21" s="5" t="s">
        <v>11</v>
      </c>
      <c r="N21" s="25" t="str">
        <f>IF(C13="non","Majoritairement dans le FCPI GENCAP PRIORITAIRE","-")</f>
        <v>-</v>
      </c>
    </row>
    <row r="22" spans="2:17" ht="15.75" customHeight="1">
      <c r="B22" s="1" t="str">
        <f>IF(C13="oui","j'ai également une réduction IR de :","")</f>
        <v>j'ai également une réduction IR de :</v>
      </c>
      <c r="C22" s="44">
        <f>IF(N4=1,IF((C18*(1-O14)*25%)&gt;O16,O16,C18*(1-O14)*25%),IF((C15*(1-O14)*25%)&gt;O16,O16,C15*(1-O14)*25%))</f>
        <v>5000</v>
      </c>
      <c r="E22" s="13" t="s">
        <v>23</v>
      </c>
      <c r="F22" s="14"/>
      <c r="G22" s="15">
        <f>SUM(G19:G21)</f>
        <v>96</v>
      </c>
      <c r="H22" s="16">
        <f>SUM(H19:H21)</f>
        <v>50400</v>
      </c>
      <c r="I22" s="42" t="s">
        <v>34</v>
      </c>
      <c r="Q22" s="25" t="s">
        <v>18</v>
      </c>
    </row>
    <row r="23" spans="2:20" ht="15">
      <c r="B23" s="1" t="str">
        <f>IF(C13="oui","Je souhaite une réduction IR supplémentaire ","")</f>
        <v>Je souhaite une réduction IR supplémentaire </v>
      </c>
      <c r="C23" s="39" t="s">
        <v>2</v>
      </c>
      <c r="O23" s="25">
        <f>IF(C13="non",C18/(500*(1+O15)),"")</f>
      </c>
      <c r="S23" s="25" t="s">
        <v>13</v>
      </c>
      <c r="T23" s="25" t="s">
        <v>12</v>
      </c>
    </row>
    <row r="24" spans="2:23" ht="15">
      <c r="B24" s="2" t="s">
        <v>26</v>
      </c>
      <c r="C24" s="38">
        <v>5000</v>
      </c>
      <c r="Q24" s="25" t="s">
        <v>8</v>
      </c>
      <c r="S24" s="25">
        <f>ROUNDUP((T24/W24),0)</f>
        <v>0</v>
      </c>
      <c r="T24" s="31">
        <f>IF(C13="oui",0,O30-O28)</f>
        <v>0</v>
      </c>
      <c r="U24" s="25">
        <f>S24*W24</f>
        <v>0</v>
      </c>
      <c r="V24" s="25" t="s">
        <v>10</v>
      </c>
      <c r="W24" s="25">
        <f>500*(1+O15)</f>
        <v>525</v>
      </c>
    </row>
    <row r="25" spans="2:23" ht="15">
      <c r="B25" s="45" t="s">
        <v>37</v>
      </c>
      <c r="C25" s="46">
        <f>IF((C22)&gt;O16,C22,IF((C24+C22)&lt;=O16,(C24+C22),O16))</f>
        <v>10000</v>
      </c>
      <c r="N25" s="25" t="s">
        <v>15</v>
      </c>
      <c r="O25" s="25">
        <f>O16/2</f>
        <v>6000</v>
      </c>
      <c r="Q25" s="25" t="s">
        <v>9</v>
      </c>
      <c r="S25" s="25">
        <f>ROUNDUP((T25/W25),0)</f>
        <v>0</v>
      </c>
      <c r="V25" s="25" t="s">
        <v>11</v>
      </c>
      <c r="W25" s="25">
        <f>500*(1+O15)</f>
        <v>525</v>
      </c>
    </row>
    <row r="26" spans="2:23" ht="15">
      <c r="B26" s="1" t="s">
        <v>36</v>
      </c>
      <c r="C26" s="27">
        <f>IF((C22)&gt;O16,0,IF((C24+C22)&lt;=O16,C24/25%,(O16-C22)/25%))</f>
        <v>20000</v>
      </c>
      <c r="N26" s="25" t="s">
        <v>16</v>
      </c>
      <c r="O26" s="25">
        <f>O25/0.25</f>
        <v>24000</v>
      </c>
      <c r="Q26" s="25" t="s">
        <v>14</v>
      </c>
      <c r="S26" s="25">
        <f>ROUNDUP((T26/W26),0)</f>
        <v>0</v>
      </c>
      <c r="T26" s="31">
        <f>IF(C13="oui",0,O28)</f>
        <v>0</v>
      </c>
      <c r="U26" s="25">
        <f>S26*W26</f>
        <v>0</v>
      </c>
      <c r="V26" s="25" t="s">
        <v>11</v>
      </c>
      <c r="W26" s="25">
        <f>500*(1+O15)</f>
        <v>525</v>
      </c>
    </row>
    <row r="27" spans="2:20" ht="15">
      <c r="B27" s="58">
        <f>CONCATENATE(N39,N40)</f>
      </c>
      <c r="C27" s="58"/>
      <c r="S27" s="25" t="s">
        <v>17</v>
      </c>
      <c r="T27" s="31">
        <f>T24+T26</f>
        <v>0</v>
      </c>
    </row>
    <row r="28" spans="2:15" ht="15">
      <c r="B28" s="34" t="s">
        <v>6</v>
      </c>
      <c r="C28" s="41">
        <f>IF(N4=1,IF(AND(C13="oui",C23="oui"),C26+C18,C18),IF(AND(C13="oui",C23="oui"),C26+C15,C15))</f>
        <v>50000</v>
      </c>
      <c r="O28" s="25">
        <f>IF(N4=1,IF(O26&lt;C18,(C18-O26),0),IF(O26&lt;C15,(C15-O26)))</f>
        <v>26000</v>
      </c>
    </row>
    <row r="29" ht="15" customHeight="1">
      <c r="M29" s="36"/>
    </row>
    <row r="30" spans="2:17" ht="36.75" customHeight="1">
      <c r="B30" s="52">
        <f>IF(C22&gt;Q16,"Attention, votre réduction d'IR ne sera atteinte qu'en cas de cumul d'investissement en FIP ET FCPI (1)",IF(AND(C23="oui",(C22+C24)&gt;Q16),"Attention, votre réduction d'IR ne sera atteinte qu'en cas de cumul d'investissement en FIP ET FCPI (1)",""))</f>
      </c>
      <c r="C30" s="52"/>
      <c r="M30" s="36"/>
      <c r="O30" s="32">
        <f>C28</f>
        <v>50000</v>
      </c>
      <c r="Q30" s="25" t="s">
        <v>20</v>
      </c>
    </row>
    <row r="31" spans="2:20" ht="15">
      <c r="B31" s="43"/>
      <c r="C31" s="43"/>
      <c r="M31" s="36"/>
      <c r="S31" s="25" t="s">
        <v>13</v>
      </c>
      <c r="T31" s="25" t="s">
        <v>12</v>
      </c>
    </row>
    <row r="32" spans="14:23" ht="15">
      <c r="N32" s="25">
        <f>IF(N4=1,IF(C13="non",IF(C15&gt;Q16,"Attention, votre réduction d'IR ne sera atteinte qu'en cas de cumul d'investissement en FIP ET FCPI (1)",""),""),IF(C13="non",IF(C18&gt;Q16,"Attention, votre réduction d'IR ne sera atteinte qu'en cas de cumul d'investissement en FIP ET FCPI (1)",""),IF(C22&gt;Q16,"Attention, votre réduction d'IR ne sera atteinte qu'en cas de cumul d'investissement en FIP ET FCPI (1)","")))</f>
      </c>
      <c r="O32" s="32">
        <f>IF(C11="oui",(12000-C22),(6000-C22))</f>
        <v>7000</v>
      </c>
      <c r="Q32" s="25" t="s">
        <v>8</v>
      </c>
      <c r="S32" s="25">
        <f>ROUNDUP((T32/W32),0)</f>
        <v>23</v>
      </c>
      <c r="T32" s="31">
        <f>IF(O30/3*2&lt;O26,O30/3,O26/2)</f>
        <v>12000</v>
      </c>
      <c r="U32" s="25">
        <f>S32*W32</f>
        <v>12075</v>
      </c>
      <c r="V32" s="25" t="s">
        <v>10</v>
      </c>
      <c r="W32" s="25">
        <f>500*(1+$O$15)</f>
        <v>525</v>
      </c>
    </row>
    <row r="33" spans="13:23" ht="15">
      <c r="M33" s="36"/>
      <c r="Q33" s="25" t="s">
        <v>9</v>
      </c>
      <c r="S33" s="25">
        <f>ROUNDUP((T33/W33),0)</f>
        <v>23</v>
      </c>
      <c r="T33" s="31">
        <f>IF(O30/3*2&lt;O26,O30/3,O26/2)</f>
        <v>12000</v>
      </c>
      <c r="U33" s="25">
        <f>S33*W33</f>
        <v>12075</v>
      </c>
      <c r="V33" s="25" t="s">
        <v>11</v>
      </c>
      <c r="W33" s="25">
        <f>500*(1+$O$15)</f>
        <v>525</v>
      </c>
    </row>
    <row r="34" spans="7:23" ht="15">
      <c r="G34" s="49">
        <f>IF(E36="le FCPI GENCAP PRIORITAIRE est non éligible à l'ISF (2)","ATTENTION !",IF(E35="","","ATTENTION !"))</f>
      </c>
      <c r="H34" s="49"/>
      <c r="M34" s="36"/>
      <c r="Q34" s="25" t="s">
        <v>14</v>
      </c>
      <c r="S34" s="25">
        <f>ROUNDUP((T34/W34),0)</f>
        <v>50</v>
      </c>
      <c r="T34" s="31">
        <f>IF(O30/3*2&lt;O26,O30/3,O28)</f>
        <v>26000</v>
      </c>
      <c r="U34" s="25">
        <f>S34*W34</f>
        <v>26250</v>
      </c>
      <c r="V34" s="25" t="s">
        <v>11</v>
      </c>
      <c r="W34" s="25">
        <f>500*(1+$O$15)</f>
        <v>525</v>
      </c>
    </row>
    <row r="35" spans="5:20" ht="30.75" customHeight="1">
      <c r="E35" s="47">
        <f>IF(E11="Majoritairement dans le FCPI GENCAP PRIORITAIRE",IF(S26&gt;0,"Il est nécessaire de CUMULER un investissement en FIP ET FCPI pour bénéficier du montant maximum de réduction (1)",""),IF(E11="libre",IF(C13="non",IF(H21&gt;(R16*(1+O15)),"Il est nécessaire de diversifier votre investissement en FCPI (1)",IF(H20+H19&gt;(R16*(1+O15)),"il est nécessaire de diversifier votre investissement en FIP (1)","")),""),""))</f>
      </c>
      <c r="F35" s="47"/>
      <c r="G35" s="47"/>
      <c r="H35" s="47"/>
      <c r="I35" s="47"/>
      <c r="J35" s="47"/>
      <c r="K35" s="47"/>
      <c r="M35" s="36"/>
      <c r="N35" s="25" t="s">
        <v>35</v>
      </c>
      <c r="S35" s="25" t="s">
        <v>17</v>
      </c>
      <c r="T35" s="31">
        <f>T32+T34+T33</f>
        <v>50000</v>
      </c>
    </row>
    <row r="36" spans="5:20" ht="15.75">
      <c r="E36" s="48">
        <f>IF(E11="libre",IF(AND(C13="oui",T41&gt;0),"le FCPI GENCAP PRIORITAIRE est non éligible à l'ISF (2)",""),"")</f>
      </c>
      <c r="F36" s="48"/>
      <c r="G36" s="48"/>
      <c r="H36" s="48"/>
      <c r="I36" s="48"/>
      <c r="J36" s="48"/>
      <c r="K36" s="48"/>
      <c r="M36" s="25" t="b">
        <f>IF(C13="non",IF(H21&gt;(24000*(1+O15)),"Attention, il est nécessaire de diversifier votre investissement en FCPI",IF(H20+H19&gt;(24000*(1+O15)),"Attention, il est nécessaire de diversifier votre investissement en FIP","")))</f>
        <v>0</v>
      </c>
      <c r="N36" s="25">
        <f>IF(N4=1,IF(C13="non",IF(C15&gt;Q16,"Attention, votre réduction d'IR ne sera atteinte qu'en cas de cumul d'investissement en FIP ET FCPI (1)",""),""),IF(C13="non",IF(C18&gt;Q16,"Attention, votre réduction d'IR ne sera atteinte qu'en cas de cumul d'investissement en FIP ET FCPI (1)",""),IF(C22&gt;Q16,"Attention, votre réduction d'IR ne sera atteinte qu'en cas de cumul d'investissement en FIP ET FCPI (1)","")))</f>
      </c>
      <c r="T36" s="31"/>
    </row>
    <row r="37" spans="5:14" ht="15">
      <c r="E37" s="28"/>
      <c r="N37" s="25">
        <f>IF(N4=1,IF(C13="non",IF(C15&gt;O16," Le montant de la réduction est plafonné à ",""),IF(C15&gt;O17," Le montant de la réduction est plafonné à ","")),IF(C13="non",IF(N6&gt;O16," Le montant de la réduction est plafonné à ",""),IF(N6&gt;O17," Le montant de la réduction est plafonné à ","")))</f>
      </c>
    </row>
    <row r="38" ht="15">
      <c r="N38" s="31">
        <f>IF(N4=1,IF(C13="non",IF(C15&gt;O16,O16,""),IF(C15&gt;O17,O17,"")),IF(C13="non",IF(N6&gt;O16,O16,""),IF(N6&gt;O17,O17,"")))</f>
      </c>
    </row>
    <row r="39" spans="14:17" ht="15">
      <c r="N39" s="25">
        <f>IF(AND(C23="oui",C24&gt;O32),"Attention le montant de la réduction IR est plafonné à ","")</f>
      </c>
      <c r="Q39" s="25" t="s">
        <v>19</v>
      </c>
    </row>
    <row r="40" spans="14:20" ht="15">
      <c r="N40" s="25">
        <f>IF(AND(C23="oui",C24&gt;O32),O16,"")</f>
      </c>
      <c r="S40" s="25" t="s">
        <v>13</v>
      </c>
      <c r="T40" s="25" t="s">
        <v>12</v>
      </c>
    </row>
    <row r="41" spans="17:23" ht="15">
      <c r="Q41" s="25" t="s">
        <v>8</v>
      </c>
      <c r="S41" s="25">
        <f>ROUNDUP((T41/W41),0)</f>
        <v>20</v>
      </c>
      <c r="T41" s="31">
        <f>O30*E16</f>
        <v>10000</v>
      </c>
      <c r="U41" s="33">
        <f>S41*W41</f>
        <v>10500</v>
      </c>
      <c r="V41" s="25" t="s">
        <v>10</v>
      </c>
      <c r="W41" s="25">
        <f>500*(1+$O$15)</f>
        <v>525</v>
      </c>
    </row>
    <row r="42" spans="17:23" ht="15">
      <c r="Q42" s="25" t="s">
        <v>9</v>
      </c>
      <c r="S42" s="25">
        <f>ROUNDUP((T42/W42),0)</f>
        <v>48</v>
      </c>
      <c r="T42" s="31">
        <f>O30*G16</f>
        <v>25000</v>
      </c>
      <c r="U42" s="33">
        <f>S42*W42</f>
        <v>25200</v>
      </c>
      <c r="V42" s="25" t="s">
        <v>11</v>
      </c>
      <c r="W42" s="25">
        <f>500*(1+$O$15)</f>
        <v>525</v>
      </c>
    </row>
    <row r="43" spans="17:23" ht="15">
      <c r="Q43" s="25" t="s">
        <v>14</v>
      </c>
      <c r="S43" s="25">
        <f>ROUNDUP((T43/W43),0)</f>
        <v>29</v>
      </c>
      <c r="T43" s="31">
        <f>O30*I16</f>
        <v>15000</v>
      </c>
      <c r="U43" s="33">
        <f>S43*W43</f>
        <v>15225</v>
      </c>
      <c r="V43" s="25" t="s">
        <v>11</v>
      </c>
      <c r="W43" s="25">
        <f>500*(1+$O$15)</f>
        <v>525</v>
      </c>
    </row>
    <row r="44" spans="20:21" ht="15">
      <c r="T44" s="31"/>
      <c r="U44" s="33"/>
    </row>
    <row r="45" spans="20:21" ht="15">
      <c r="T45" s="31"/>
      <c r="U45" s="33"/>
    </row>
    <row r="46" spans="19:20" ht="15">
      <c r="S46" s="25" t="s">
        <v>17</v>
      </c>
      <c r="T46" s="31">
        <f>T41+T43+T42</f>
        <v>50000</v>
      </c>
    </row>
    <row r="47" ht="15"/>
    <row r="48" ht="15">
      <c r="Q48" s="25" t="s">
        <v>21</v>
      </c>
    </row>
    <row r="49" spans="13:20" ht="15">
      <c r="M49" s="25">
        <v>1</v>
      </c>
      <c r="N49" s="25">
        <v>2</v>
      </c>
      <c r="S49" s="25" t="s">
        <v>13</v>
      </c>
      <c r="T49" s="25" t="s">
        <v>12</v>
      </c>
    </row>
    <row r="50" ht="15"/>
    <row r="51" ht="15"/>
    <row r="52" ht="15"/>
    <row r="53" ht="15"/>
    <row r="54" spans="13:23" ht="15">
      <c r="M54" s="25" t="str">
        <f>IF(AND(M49=1,N49=2),"OK","FAUX")</f>
        <v>OK</v>
      </c>
      <c r="Q54" s="25" t="s">
        <v>8</v>
      </c>
      <c r="S54" s="25">
        <f>ROUNDUP((T54/W54),0)</f>
        <v>0</v>
      </c>
      <c r="T54" s="31">
        <f>O30-T55-T56</f>
        <v>0</v>
      </c>
      <c r="U54" s="33">
        <f>S54*W54</f>
        <v>0</v>
      </c>
      <c r="V54" s="25" t="s">
        <v>10</v>
      </c>
      <c r="W54" s="25">
        <f>500*(1+$O$15)</f>
        <v>525</v>
      </c>
    </row>
    <row r="55" spans="17:23" ht="15">
      <c r="Q55" s="25" t="s">
        <v>9</v>
      </c>
      <c r="S55" s="25">
        <f>ROUNDUP((T55/W55),0)</f>
        <v>48</v>
      </c>
      <c r="T55" s="31">
        <f>IF(N4=1,C18/2,C15/2)</f>
        <v>25000</v>
      </c>
      <c r="U55" s="33">
        <f>S55*W55</f>
        <v>25200</v>
      </c>
      <c r="V55" s="25" t="s">
        <v>11</v>
      </c>
      <c r="W55" s="25">
        <f>500*(1+$O$15)</f>
        <v>525</v>
      </c>
    </row>
    <row r="56" spans="17:23" ht="15">
      <c r="Q56" s="25" t="s">
        <v>14</v>
      </c>
      <c r="S56" s="25">
        <f>ROUNDUP((T56/W56),0)</f>
        <v>48</v>
      </c>
      <c r="T56" s="31">
        <f>IF(N4=1,C18/2,C15/2)</f>
        <v>25000</v>
      </c>
      <c r="U56" s="33">
        <f>S56*W56</f>
        <v>25200</v>
      </c>
      <c r="V56" s="25" t="s">
        <v>11</v>
      </c>
      <c r="W56" s="25">
        <f>500*(1+$O$15)</f>
        <v>525</v>
      </c>
    </row>
    <row r="57" spans="19:21" ht="15">
      <c r="S57" s="25" t="s">
        <v>17</v>
      </c>
      <c r="T57" s="31">
        <f>T54+T56+T55</f>
        <v>50000</v>
      </c>
      <c r="U57" s="31">
        <f>U54+U56+U55</f>
        <v>50400</v>
      </c>
    </row>
    <row r="58" ht="15"/>
    <row r="59" spans="19:20" ht="15">
      <c r="S59" s="25" t="s">
        <v>13</v>
      </c>
      <c r="T59" s="25" t="s">
        <v>12</v>
      </c>
    </row>
    <row r="60" spans="3:23" ht="15">
      <c r="C60" s="17">
        <f>C16</f>
        <v>0.05</v>
      </c>
      <c r="D60" s="18">
        <f>G19</f>
        <v>0</v>
      </c>
      <c r="H60" s="19">
        <f>H19</f>
        <v>0</v>
      </c>
      <c r="Q60" s="25" t="s">
        <v>8</v>
      </c>
      <c r="S60" s="25">
        <f aca="true" t="shared" si="0" ref="S60:T62">IF($E$11="Majoritairement dans le FCPI GENCAP PRIORITAIRE",S24,IF(AND($E$11="Solution mixte entre les différents fonds",$C$13="oui"),S54,IF($E$11="Solution mixte entre les différents fonds",S32,S41)))</f>
        <v>0</v>
      </c>
      <c r="T60" s="31">
        <f t="shared" si="0"/>
        <v>0</v>
      </c>
      <c r="U60" s="33">
        <f>S60*W60</f>
        <v>0</v>
      </c>
      <c r="V60" s="25" t="s">
        <v>10</v>
      </c>
      <c r="W60" s="25">
        <f>500*(1+$O$15)</f>
        <v>525</v>
      </c>
    </row>
    <row r="61" spans="3:23" ht="14.25" customHeight="1">
      <c r="C61" s="17">
        <f>C16</f>
        <v>0.05</v>
      </c>
      <c r="D61" s="18">
        <f>G20</f>
        <v>48</v>
      </c>
      <c r="H61" s="19">
        <f>H20</f>
        <v>25200</v>
      </c>
      <c r="Q61" s="25" t="s">
        <v>9</v>
      </c>
      <c r="S61" s="25">
        <f t="shared" si="0"/>
        <v>48</v>
      </c>
      <c r="T61" s="31">
        <f t="shared" si="0"/>
        <v>25000</v>
      </c>
      <c r="U61" s="33">
        <f>S61*W61</f>
        <v>25200</v>
      </c>
      <c r="V61" s="25" t="s">
        <v>11</v>
      </c>
      <c r="W61" s="25">
        <f>500*(1+$O$15)</f>
        <v>525</v>
      </c>
    </row>
    <row r="62" spans="3:23" ht="15.75" customHeight="1">
      <c r="C62" s="17">
        <f>C16</f>
        <v>0.05</v>
      </c>
      <c r="D62" s="18">
        <f>G21</f>
        <v>48</v>
      </c>
      <c r="H62" s="19">
        <f>H21</f>
        <v>25200</v>
      </c>
      <c r="Q62" s="25" t="s">
        <v>14</v>
      </c>
      <c r="S62" s="25">
        <f t="shared" si="0"/>
        <v>48</v>
      </c>
      <c r="T62" s="31">
        <f t="shared" si="0"/>
        <v>25000</v>
      </c>
      <c r="U62" s="33">
        <f>S62*W62</f>
        <v>25200</v>
      </c>
      <c r="V62" s="25" t="s">
        <v>11</v>
      </c>
      <c r="W62" s="25">
        <f>500*(1+$O$15)</f>
        <v>525</v>
      </c>
    </row>
    <row r="63" ht="3.75" customHeight="1">
      <c r="H63" s="20"/>
    </row>
    <row r="64" spans="4:20" ht="15">
      <c r="D64" s="21">
        <f>G22</f>
        <v>96</v>
      </c>
      <c r="H64" s="19">
        <f>H22</f>
        <v>50400</v>
      </c>
      <c r="S64" s="25" t="s">
        <v>17</v>
      </c>
      <c r="T64" s="31">
        <f>T60+T62+T61</f>
        <v>50000</v>
      </c>
    </row>
    <row r="65" ht="15"/>
    <row r="66" ht="15"/>
    <row r="67" spans="19:22" ht="15">
      <c r="S67" s="25" t="s">
        <v>30</v>
      </c>
      <c r="T67" s="25" t="s">
        <v>29</v>
      </c>
      <c r="U67" s="25" t="s">
        <v>30</v>
      </c>
      <c r="V67" s="25" t="s">
        <v>29</v>
      </c>
    </row>
    <row r="68" spans="17:22" ht="15">
      <c r="Q68" s="25" t="s">
        <v>8</v>
      </c>
      <c r="S68" s="30">
        <v>1</v>
      </c>
      <c r="U68" s="33">
        <f>U60*S68</f>
        <v>0</v>
      </c>
      <c r="V68" s="33">
        <f>U60*T68</f>
        <v>0</v>
      </c>
    </row>
    <row r="69" spans="17:22" ht="15">
      <c r="Q69" s="25" t="s">
        <v>9</v>
      </c>
      <c r="S69" s="30">
        <v>0.4</v>
      </c>
      <c r="T69" s="30">
        <v>0.6</v>
      </c>
      <c r="U69" s="33">
        <f>U61*S69</f>
        <v>10080</v>
      </c>
      <c r="V69" s="33">
        <f>U61*T69</f>
        <v>15120</v>
      </c>
    </row>
    <row r="70" spans="17:22" ht="15">
      <c r="Q70" s="25" t="s">
        <v>14</v>
      </c>
      <c r="S70" s="30">
        <v>0.4</v>
      </c>
      <c r="T70" s="30">
        <v>0.6</v>
      </c>
      <c r="U70" s="33">
        <f>U62*S70</f>
        <v>10080</v>
      </c>
      <c r="V70" s="33">
        <f>U62*T70</f>
        <v>15120</v>
      </c>
    </row>
    <row r="71" spans="3:22" ht="15">
      <c r="C71" s="22">
        <f>IF(C13="oui",D61*500,0)</f>
        <v>24000</v>
      </c>
      <c r="F71" s="23">
        <f>C71*60%*50%</f>
        <v>7200</v>
      </c>
      <c r="U71" s="25" t="s">
        <v>32</v>
      </c>
      <c r="V71" s="25" t="s">
        <v>29</v>
      </c>
    </row>
    <row r="72" spans="3:22" ht="15">
      <c r="C72" s="22">
        <f>IF(C13="oui",D62*500,0)</f>
        <v>24000</v>
      </c>
      <c r="F72" s="23">
        <f>C72*60%*50%</f>
        <v>7200</v>
      </c>
      <c r="U72" s="33">
        <f>SUM(U68:U70)</f>
        <v>20160</v>
      </c>
      <c r="V72" s="33">
        <f>SUM(V68:V70)</f>
        <v>30240</v>
      </c>
    </row>
    <row r="73" ht="6" customHeight="1"/>
    <row r="74" ht="15">
      <c r="F74" s="24">
        <f>IF((F71+F72)&gt;20000,20000,(F71+F72))</f>
        <v>14400</v>
      </c>
    </row>
    <row r="75" ht="15">
      <c r="B75" s="35" t="s">
        <v>31</v>
      </c>
    </row>
    <row r="76" ht="26.25" customHeight="1"/>
  </sheetData>
  <sheetProtection password="DB44" sheet="1" objects="1" selectLockedCells="1"/>
  <mergeCells count="14">
    <mergeCell ref="B19:C21"/>
    <mergeCell ref="B30:C30"/>
    <mergeCell ref="E11:H11"/>
    <mergeCell ref="E16:F16"/>
    <mergeCell ref="G16:H16"/>
    <mergeCell ref="I16:J16"/>
    <mergeCell ref="B27:C27"/>
    <mergeCell ref="E13:I13"/>
    <mergeCell ref="E35:K35"/>
    <mergeCell ref="E36:K36"/>
    <mergeCell ref="G34:H34"/>
    <mergeCell ref="E15:F15"/>
    <mergeCell ref="G15:H15"/>
    <mergeCell ref="I15:J15"/>
  </mergeCells>
  <conditionalFormatting sqref="B23:B24 B30 C22:C24 B25:C28">
    <cfRule type="expression" priority="19" dxfId="7">
      <formula>IF($C$13="non",TRUE,FALSE)</formula>
    </cfRule>
  </conditionalFormatting>
  <conditionalFormatting sqref="C27 B28:C28 B24:C26">
    <cfRule type="expression" priority="17" dxfId="7">
      <formula>IF($C$23="NON",TRUE,FALSE)</formula>
    </cfRule>
  </conditionalFormatting>
  <conditionalFormatting sqref="H19">
    <cfRule type="expression" priority="14" dxfId="8">
      <formula>IF(AND($H$19&lt;(500*(1+$O$15)*2),$H$19&gt;0),TRUE,FALSE)</formula>
    </cfRule>
  </conditionalFormatting>
  <conditionalFormatting sqref="H20">
    <cfRule type="expression" priority="13" dxfId="8">
      <formula>IF(AND($H$20&lt;(500*(1+$O$15)*4),$H$20&gt;0),TRUE,FALSE)</formula>
    </cfRule>
  </conditionalFormatting>
  <conditionalFormatting sqref="H21">
    <cfRule type="expression" priority="12" dxfId="8">
      <formula>IF(AND($H$21&lt;(500*(1+$O$15)*4),$H$21&gt;0),TRUE,FALSE)</formula>
    </cfRule>
  </conditionalFormatting>
  <conditionalFormatting sqref="E15:J16">
    <cfRule type="expression" priority="6" dxfId="9" stopIfTrue="1">
      <formula>IF($E$11="libre",FALSE,TRUE)</formula>
    </cfRule>
  </conditionalFormatting>
  <conditionalFormatting sqref="E13">
    <cfRule type="expression" priority="5" dxfId="10" stopIfTrue="1">
      <formula>IF($E$11="libre",FALSE,TRUE)</formula>
    </cfRule>
  </conditionalFormatting>
  <dataValidations count="4">
    <dataValidation type="decimal" operator="lessThanOrEqual" allowBlank="1" showInputMessage="1" showErrorMessage="1" errorTitle="ATTENTION !" error="Les montants sont superieurs aux maximums légaux" sqref="C15">
      <formula1>IF(N4=1,IF(C13="non",O16,O17),IF(C13="non",P16,P17))</formula1>
    </dataValidation>
    <dataValidation type="whole" operator="lessThanOrEqual" allowBlank="1" showInputMessage="1" showErrorMessage="1" errorTitle="ATTENTION !" error="Les montants de réduction sont superieurs aux maximums légaux" sqref="C24">
      <formula1>IF(C11="oui",(12000-C22),(6000-C22))</formula1>
    </dataValidation>
    <dataValidation type="list" allowBlank="1" showInputMessage="1" showErrorMessage="1" sqref="C23 C13 C11">
      <formula1>$O$11:$O$12</formula1>
    </dataValidation>
    <dataValidation type="list" allowBlank="1" showInputMessage="1" showErrorMessage="1" sqref="E11:H11">
      <formula1>$N$19:$N$21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llambert</dc:creator>
  <cp:keywords/>
  <dc:description/>
  <cp:lastModifiedBy>tderoux</cp:lastModifiedBy>
  <cp:lastPrinted>2009-11-16T15:11:45Z</cp:lastPrinted>
  <dcterms:created xsi:type="dcterms:W3CDTF">2009-09-29T09:23:40Z</dcterms:created>
  <dcterms:modified xsi:type="dcterms:W3CDTF">2009-11-23T15:10:54Z</dcterms:modified>
  <cp:category/>
  <cp:version/>
  <cp:contentType/>
  <cp:contentStatus/>
</cp:coreProperties>
</file>